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228"/>
  <workbookPr showInkAnnotation="0" autoCompressPictures="0"/>
  <mc:AlternateContent xmlns:mc="http://schemas.openxmlformats.org/markup-compatibility/2006">
    <mc:Choice Requires="x15">
      <x15ac:absPath xmlns:x15ac="http://schemas.microsoft.com/office/spreadsheetml/2010/11/ac" url="S:\CENTRAL DATA (S)\One Planet Living\Energy\Fossil Free\"/>
    </mc:Choice>
  </mc:AlternateContent>
  <xr:revisionPtr revIDLastSave="0" documentId="8_{AC39A889-C233-426E-BA8E-DCB7118DE2D1}" xr6:coauthVersionLast="34" xr6:coauthVersionMax="34" xr10:uidLastSave="{00000000-0000-0000-0000-000000000000}"/>
  <bookViews>
    <workbookView xWindow="0" yWindow="0" windowWidth="19008" windowHeight="8496" tabRatio="809" xr2:uid="{00000000-000D-0000-FFFF-FFFF00000000}"/>
  </bookViews>
  <sheets>
    <sheet name="Read this first" sheetId="11" r:id="rId1"/>
    <sheet name="Start here" sheetId="2" r:id="rId2"/>
    <sheet name="Baseline heat &amp; power" sheetId="4" r:id="rId3"/>
    <sheet name="Baseline car use" sheetId="5" r:id="rId4"/>
    <sheet name="Renewable power" sheetId="6" r:id="rId5"/>
    <sheet name="Renewable heat" sheetId="7" r:id="rId6"/>
    <sheet name="Years to zero carbon" sheetId="13" r:id="rId7"/>
    <sheet name="Graphs" sheetId="14" r:id="rId8"/>
    <sheet name="Assumptions" sheetId="12" r:id="rId9"/>
    <sheet name="Information sources" sheetId="1" r:id="rId10"/>
    <sheet name="FAQ's" sheetId="10" r:id="rId11"/>
  </sheets>
  <calcPr calcId="179017"/>
  <extLst>
    <ext xmlns:mx="http://schemas.microsoft.com/office/mac/excel/2008/main" uri="{7523E5D3-25F3-A5E0-1632-64F254C22452}">
      <mx:ArchID Flags="2"/>
    </ext>
  </extLst>
</workbook>
</file>

<file path=xl/calcChain.xml><?xml version="1.0" encoding="utf-8"?>
<calcChain xmlns="http://schemas.openxmlformats.org/spreadsheetml/2006/main">
  <c r="K116" i="14" l="1"/>
  <c r="B116" i="14"/>
  <c r="K91" i="14"/>
  <c r="B91" i="14"/>
  <c r="K69" i="14"/>
  <c r="B69" i="14"/>
  <c r="K45" i="14"/>
  <c r="B45" i="14"/>
  <c r="K23" i="14"/>
  <c r="B23" i="14"/>
  <c r="K4" i="14"/>
  <c r="B6" i="5"/>
  <c r="B3" i="5"/>
  <c r="B5" i="5"/>
  <c r="B8" i="5" s="1"/>
  <c r="B15" i="5" s="1"/>
  <c r="B11" i="5"/>
  <c r="B20" i="5"/>
  <c r="B21" i="5" s="1"/>
  <c r="B22" i="5"/>
  <c r="B23" i="5" s="1"/>
  <c r="F8" i="5"/>
  <c r="F11" i="5"/>
  <c r="F15" i="5" s="1"/>
  <c r="F37" i="5" s="1"/>
  <c r="C17" i="4"/>
  <c r="B6" i="4"/>
  <c r="B2" i="4"/>
  <c r="B3" i="4"/>
  <c r="B8" i="4"/>
  <c r="B19" i="4" s="1"/>
  <c r="C23" i="4"/>
  <c r="B9" i="4"/>
  <c r="B11" i="4" s="1"/>
  <c r="C16" i="4"/>
  <c r="C18" i="4"/>
  <c r="C21" i="4"/>
  <c r="C22" i="4"/>
  <c r="C7" i="13"/>
  <c r="B53" i="4"/>
  <c r="B41" i="5"/>
  <c r="B42" i="5"/>
  <c r="F44" i="5"/>
  <c r="F35" i="2"/>
  <c r="B18" i="4"/>
  <c r="B7" i="13"/>
  <c r="F10" i="5"/>
  <c r="F14" i="5" s="1"/>
  <c r="B14" i="5"/>
  <c r="B32" i="5"/>
  <c r="B31" i="5"/>
  <c r="C32" i="7"/>
  <c r="C23" i="7"/>
  <c r="C22" i="7"/>
  <c r="B56" i="6"/>
  <c r="B51" i="2" s="1"/>
  <c r="E51" i="2" s="1"/>
  <c r="B36" i="6"/>
  <c r="B14" i="6"/>
  <c r="B8" i="7" s="1"/>
  <c r="B13" i="6"/>
  <c r="C20" i="7"/>
  <c r="C18" i="7"/>
  <c r="B60" i="2"/>
  <c r="B9" i="7"/>
  <c r="B10" i="7"/>
  <c r="B11" i="7" s="1"/>
  <c r="B12" i="7" s="1"/>
  <c r="B49" i="6"/>
  <c r="B7" i="4"/>
  <c r="B14" i="7" l="1"/>
  <c r="B57" i="2" s="1"/>
  <c r="B13" i="7"/>
  <c r="B56" i="2" s="1"/>
  <c r="C26" i="4"/>
  <c r="B29" i="4"/>
  <c r="B26" i="4"/>
  <c r="C19" i="4"/>
  <c r="B15" i="6"/>
  <c r="B16" i="6" s="1"/>
  <c r="B10" i="4"/>
  <c r="B25" i="4" s="1"/>
  <c r="B12" i="4"/>
  <c r="B25" i="5"/>
  <c r="B26" i="5"/>
  <c r="C27" i="4"/>
  <c r="C29" i="4"/>
  <c r="B38" i="5" l="1"/>
  <c r="B45" i="5"/>
  <c r="B18" i="6"/>
  <c r="B17" i="6"/>
  <c r="C25" i="4"/>
  <c r="C33" i="4" s="1"/>
  <c r="B37" i="5"/>
  <c r="B44" i="5"/>
  <c r="B27" i="4"/>
  <c r="B33" i="4" s="1"/>
  <c r="C30" i="4"/>
  <c r="C17" i="7" s="1"/>
  <c r="B30" i="4"/>
  <c r="B57" i="4" s="1"/>
  <c r="C34" i="4"/>
  <c r="B56" i="4" l="1"/>
  <c r="B51" i="6"/>
  <c r="B50" i="2" s="1"/>
  <c r="B21" i="6"/>
  <c r="B27" i="6" s="1"/>
  <c r="B44" i="2" s="1"/>
  <c r="B37" i="4"/>
  <c r="E14" i="2"/>
  <c r="E19" i="2" s="1"/>
  <c r="B39" i="6"/>
  <c r="B41" i="4"/>
  <c r="C19" i="7"/>
  <c r="C31" i="7" s="1"/>
  <c r="C33" i="7" s="1"/>
  <c r="I24" i="2"/>
  <c r="B50" i="5"/>
  <c r="B51" i="5" s="1"/>
  <c r="C24" i="2"/>
  <c r="B60" i="4"/>
  <c r="I14" i="2"/>
  <c r="I19" i="2" s="1"/>
  <c r="B47" i="5"/>
  <c r="I15" i="2" s="1"/>
  <c r="I20" i="2" s="1"/>
  <c r="B48" i="5"/>
  <c r="I16" i="2" s="1"/>
  <c r="I21" i="2" s="1"/>
  <c r="B34" i="4"/>
  <c r="C57" i="4"/>
  <c r="C37" i="4"/>
  <c r="C39" i="6"/>
  <c r="C56" i="4"/>
  <c r="F14" i="2"/>
  <c r="F19" i="2" s="1"/>
  <c r="C51" i="6"/>
  <c r="E50" i="2" s="1"/>
  <c r="C41" i="4"/>
  <c r="C21" i="6"/>
  <c r="C27" i="6" s="1"/>
  <c r="E44" i="2" s="1"/>
  <c r="B17" i="7"/>
  <c r="D14" i="2"/>
  <c r="C42" i="4"/>
  <c r="C38" i="4"/>
  <c r="D15" i="2" s="1"/>
  <c r="C34" i="7" l="1"/>
  <c r="C35" i="7"/>
  <c r="D20" i="2"/>
  <c r="I64" i="2" s="1"/>
  <c r="C58" i="4"/>
  <c r="F24" i="2"/>
  <c r="C59" i="4"/>
  <c r="D16" i="2"/>
  <c r="C46" i="4"/>
  <c r="F16" i="2"/>
  <c r="F21" i="2" s="1"/>
  <c r="C23" i="6"/>
  <c r="C29" i="6" s="1"/>
  <c r="C45" i="4"/>
  <c r="C43" i="6"/>
  <c r="C40" i="6"/>
  <c r="C41" i="6"/>
  <c r="E15" i="2"/>
  <c r="E20" i="2" s="1"/>
  <c r="B22" i="6"/>
  <c r="B28" i="6" s="1"/>
  <c r="B19" i="7"/>
  <c r="B31" i="7"/>
  <c r="B33" i="7" s="1"/>
  <c r="D19" i="2"/>
  <c r="H14" i="2"/>
  <c r="C22" i="6"/>
  <c r="C28" i="6" s="1"/>
  <c r="F15" i="2"/>
  <c r="F20" i="2" s="1"/>
  <c r="B45" i="4"/>
  <c r="E16" i="2"/>
  <c r="E21" i="2" s="1"/>
  <c r="B23" i="6"/>
  <c r="B29" i="6" s="1"/>
  <c r="D24" i="2"/>
  <c r="C60" i="4"/>
  <c r="C29" i="2"/>
  <c r="C26" i="2"/>
  <c r="C31" i="2" s="1"/>
  <c r="C25" i="2"/>
  <c r="C30" i="2" s="1"/>
  <c r="I25" i="2"/>
  <c r="I30" i="2" s="1"/>
  <c r="I26" i="2"/>
  <c r="I31" i="2" s="1"/>
  <c r="I29" i="2"/>
  <c r="B40" i="6"/>
  <c r="B43" i="6"/>
  <c r="B41" i="6"/>
  <c r="C14" i="2"/>
  <c r="B38" i="4"/>
  <c r="C15" i="2" s="1"/>
  <c r="B42" i="4"/>
  <c r="C21" i="7"/>
  <c r="C30" i="7"/>
  <c r="B58" i="4"/>
  <c r="B59" i="4"/>
  <c r="E24" i="2"/>
  <c r="G24" i="2" s="1"/>
  <c r="G25" i="2" l="1"/>
  <c r="G30" i="2" s="1"/>
  <c r="G29" i="2"/>
  <c r="G26" i="2"/>
  <c r="G31" i="2" s="1"/>
  <c r="L66" i="2"/>
  <c r="L64" i="2"/>
  <c r="C24" i="7"/>
  <c r="C25" i="7" s="1"/>
  <c r="H60" i="2" s="1"/>
  <c r="C26" i="7"/>
  <c r="C27" i="7" s="1"/>
  <c r="H61" i="2" s="1"/>
  <c r="C19" i="2"/>
  <c r="G14" i="2"/>
  <c r="G19" i="2" s="1"/>
  <c r="J14" i="2"/>
  <c r="H16" i="2"/>
  <c r="D21" i="2"/>
  <c r="I66" i="2" s="1"/>
  <c r="H15" i="2"/>
  <c r="H24" i="2"/>
  <c r="D29" i="2"/>
  <c r="D25" i="2"/>
  <c r="D30" i="2" s="1"/>
  <c r="D26" i="2"/>
  <c r="D31" i="2" s="1"/>
  <c r="B34" i="7"/>
  <c r="B35" i="7"/>
  <c r="E26" i="2"/>
  <c r="E31" i="2" s="1"/>
  <c r="E29" i="2"/>
  <c r="E25" i="2"/>
  <c r="E30" i="2" s="1"/>
  <c r="B46" i="4"/>
  <c r="C16" i="2"/>
  <c r="B21" i="7"/>
  <c r="B30" i="7"/>
  <c r="C42" i="6"/>
  <c r="E47" i="2"/>
  <c r="F25" i="2"/>
  <c r="F30" i="2" s="1"/>
  <c r="F26" i="2"/>
  <c r="F31" i="2" s="1"/>
  <c r="F29" i="2"/>
  <c r="B61" i="4"/>
  <c r="B64" i="4"/>
  <c r="B65" i="4" s="1"/>
  <c r="J15" i="2"/>
  <c r="J20" i="2" s="1"/>
  <c r="G15" i="2"/>
  <c r="G20" i="2" s="1"/>
  <c r="C20" i="2"/>
  <c r="B64" i="2" s="1"/>
  <c r="B42" i="6"/>
  <c r="B47" i="2"/>
  <c r="J24" i="2"/>
  <c r="K14" i="2"/>
  <c r="C5" i="13" s="1"/>
  <c r="C8" i="13" s="1"/>
  <c r="C9" i="13" s="1"/>
  <c r="C10" i="13" s="1"/>
  <c r="H19" i="2"/>
  <c r="K19" i="2" s="1"/>
  <c r="C61" i="4"/>
  <c r="C64" i="4"/>
  <c r="C65" i="4" s="1"/>
  <c r="G16" i="2" l="1"/>
  <c r="G21" i="2" s="1"/>
  <c r="C21" i="2"/>
  <c r="B66" i="2" s="1"/>
  <c r="J16" i="2"/>
  <c r="J21" i="2" s="1"/>
  <c r="J29" i="2"/>
  <c r="J26" i="2"/>
  <c r="J31" i="2" s="1"/>
  <c r="J25" i="2"/>
  <c r="J30" i="2" s="1"/>
  <c r="K16" i="2"/>
  <c r="H21" i="2"/>
  <c r="K21" i="2" s="1"/>
  <c r="H25" i="2"/>
  <c r="H29" i="2"/>
  <c r="K29" i="2" s="1"/>
  <c r="H26" i="2"/>
  <c r="K24" i="2"/>
  <c r="B5" i="13"/>
  <c r="B8" i="13" s="1"/>
  <c r="B9" i="13" s="1"/>
  <c r="B10" i="13" s="1"/>
  <c r="D35" i="2" s="1"/>
  <c r="J19" i="2"/>
  <c r="B35" i="2"/>
  <c r="E64" i="2"/>
  <c r="B24" i="7"/>
  <c r="B25" i="7" s="1"/>
  <c r="D60" i="2" s="1"/>
  <c r="E66" i="2"/>
  <c r="B26" i="7"/>
  <c r="B27" i="7" s="1"/>
  <c r="D61" i="2" s="1"/>
  <c r="H20" i="2"/>
  <c r="K20" i="2" s="1"/>
  <c r="K15" i="2"/>
  <c r="H30" i="2" l="1"/>
  <c r="K30" i="2" s="1"/>
  <c r="K25" i="2"/>
  <c r="H31" i="2"/>
  <c r="K31" i="2" s="1"/>
  <c r="K2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Emily Letcher</author>
  </authors>
  <commentList>
    <comment ref="I15" authorId="0" shapeId="0" xr:uid="{00000000-0006-0000-0100-000001000000}">
      <text>
        <r>
          <rPr>
            <b/>
            <sz val="9"/>
            <color indexed="81"/>
            <rFont val="Calibri"/>
            <family val="2"/>
          </rPr>
          <t>Note:</t>
        </r>
        <r>
          <rPr>
            <sz val="9"/>
            <color indexed="81"/>
            <rFont val="Calibri"/>
            <family val="2"/>
          </rPr>
          <t xml:space="preserve">
The average energy use per household per year assuming car use is spread evenly across all housholds in your village, or town.</t>
        </r>
      </text>
    </comment>
    <comment ref="I16" authorId="0" shapeId="0" xr:uid="{00000000-0006-0000-0100-000002000000}">
      <text>
        <r>
          <rPr>
            <b/>
            <sz val="9"/>
            <color indexed="81"/>
            <rFont val="Calibri"/>
            <family val="2"/>
          </rPr>
          <t xml:space="preserve">Note:
</t>
        </r>
        <r>
          <rPr>
            <sz val="9"/>
            <color indexed="81"/>
            <rFont val="Calibri"/>
            <family val="2"/>
          </rPr>
          <t xml:space="preserve">The average energy use per person per year, assuming car use is spread evenly across the whole population
</t>
        </r>
      </text>
    </comment>
    <comment ref="I21" authorId="0" shapeId="0" xr:uid="{00000000-0006-0000-0100-000003000000}">
      <text>
        <r>
          <rPr>
            <b/>
            <sz val="9"/>
            <color indexed="81"/>
            <rFont val="Calibri"/>
            <family val="2"/>
          </rPr>
          <t>Note:</t>
        </r>
        <r>
          <rPr>
            <sz val="9"/>
            <color indexed="81"/>
            <rFont val="Calibri"/>
            <family val="2"/>
          </rPr>
          <t xml:space="preserve">
The per person average for the whole population of your area. The daily energy consumption figure for car drivers is higher because roughly 1 in 2 people own a car.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Emily Letcher</author>
  </authors>
  <commentList>
    <comment ref="B21" authorId="0" shapeId="0" xr:uid="{00000000-0006-0000-0300-000001000000}">
      <text>
        <r>
          <rPr>
            <b/>
            <sz val="9"/>
            <color indexed="81"/>
            <rFont val="Calibri"/>
            <family val="2"/>
          </rPr>
          <t>Mark Letcher:</t>
        </r>
        <r>
          <rPr>
            <sz val="9"/>
            <color indexed="81"/>
            <rFont val="Calibri"/>
            <family val="2"/>
          </rPr>
          <t xml:space="preserve">
1 mile = 1.609344km
1 UK gallon = 4.54609 litres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Emily Letcher</author>
  </authors>
  <commentList>
    <comment ref="A21" authorId="0" shapeId="0" xr:uid="{00000000-0006-0000-0400-000001000000}">
      <text>
        <r>
          <rPr>
            <b/>
            <sz val="9"/>
            <color indexed="81"/>
            <rFont val="Calibri"/>
            <family val="2"/>
          </rPr>
          <t>Note: Excludes power demand for electric vehicles</t>
        </r>
        <r>
          <rPr>
            <sz val="9"/>
            <color indexed="81"/>
            <rFont val="Calibri"/>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Emily Letcher</author>
  </authors>
  <commentList>
    <comment ref="B21" authorId="0" shapeId="0" xr:uid="{00000000-0006-0000-0500-000001000000}">
      <text>
        <r>
          <rPr>
            <b/>
            <sz val="9"/>
            <color indexed="81"/>
            <rFont val="Calibri"/>
            <family val="2"/>
          </rPr>
          <t>Mark Letcher:</t>
        </r>
        <r>
          <rPr>
            <sz val="9"/>
            <color indexed="81"/>
            <rFont val="Calibri"/>
            <family val="2"/>
          </rPr>
          <t xml:space="preserve">
Review if we need to add this efficiency figure - i.e. difference between gas boiler and biomass bioler efficiency</t>
        </r>
      </text>
    </comment>
  </commentList>
</comments>
</file>

<file path=xl/sharedStrings.xml><?xml version="1.0" encoding="utf-8"?>
<sst xmlns="http://schemas.openxmlformats.org/spreadsheetml/2006/main" count="568" uniqueCount="431">
  <si>
    <t>Source</t>
  </si>
  <si>
    <t>Ofgem</t>
  </si>
  <si>
    <t>Link</t>
  </si>
  <si>
    <t>https://www.ofgem.gov.uk/gas/retail-market/monitoring-data-and-statistics/typical-domestic-consumption-values</t>
  </si>
  <si>
    <t>Notes</t>
  </si>
  <si>
    <t>Typical Domestic Consumption Values for households</t>
  </si>
  <si>
    <t>Published August 2017 Values for gas and electricity consumption. Electricity presenting in two profile classes
Electricity Profile Class 1 - domestic unrestricted customers
Electricity Profile Class 2 - domestic Economy 7 customers
Each category provides low medium and high values</t>
  </si>
  <si>
    <t>Population of England, number of households and households per population</t>
  </si>
  <si>
    <t>Office of National Statistics</t>
  </si>
  <si>
    <t>https://www.ons.gov.uk/peoplepopulationandcommunity/populationandmigration/populationestimates/bulletins/populationandhouseholdestimatesfortheunitedkingdom/2011-03-21</t>
  </si>
  <si>
    <t>Derived from 2011 census data</t>
  </si>
  <si>
    <t>Heating and hot water by fuel type</t>
  </si>
  <si>
    <t xml:space="preserve">Heat in Homes - customer choice on fuel and techhnologies </t>
  </si>
  <si>
    <t>http://geography.exeter.ac.uk/staff_profile_images/Hoggett2011_Heat_in_Homes.pdf</t>
  </si>
  <si>
    <t>Derived from DECC 2010</t>
  </si>
  <si>
    <t>Population</t>
  </si>
  <si>
    <t>Enter numbers below</t>
  </si>
  <si>
    <t>Population - how many people live in your village, or town?</t>
  </si>
  <si>
    <t>Estimated number of households</t>
  </si>
  <si>
    <t>Source reference</t>
  </si>
  <si>
    <t>Provided by the user</t>
  </si>
  <si>
    <t>Note</t>
  </si>
  <si>
    <t>In this context carbon refers to the emissions arising from domestic heat and power, and personal transport.</t>
  </si>
  <si>
    <t>What percentage of households use mains gas for their heating?</t>
  </si>
  <si>
    <t>Percentage of homes using mains gas for heating (%)</t>
  </si>
  <si>
    <t>Percentage of homes using other fuels for heating (%)</t>
  </si>
  <si>
    <t>Estimated no of homes using mains gas for heating</t>
  </si>
  <si>
    <t>Estimated no of homes using fuels other than gas for heating</t>
  </si>
  <si>
    <t>Nationally the 83% of homes are on mains gas. The user can enter a figure  for their area</t>
  </si>
  <si>
    <t>Heat in homes: customer choice on fuel and technologies. Richard Hoggett University of Exeter. http://geography.exeter.ac.uk/staff_profile_images/Hoggett2011_Heat_in_Homes.pdf</t>
  </si>
  <si>
    <t>Calculated estimate</t>
  </si>
  <si>
    <t>Estimated number of homes using Economy 7 heating</t>
  </si>
  <si>
    <t>Estimated number of homes using oil heating</t>
  </si>
  <si>
    <t>Estimated number of homes using solid fuel heating</t>
  </si>
  <si>
    <t>For homes which don't use mains gas for heating assumed that 35.3% use Economy 7, 52.9% using oil, and 11.8% using solid fuel</t>
  </si>
  <si>
    <t xml:space="preserve">Heat in homes: customer choice on fuel and technologies. Richard Hoggett University of Exeter. http://geography.exeter.ac.uk/staff_profile_images/Hoggett2011_Heat_in_Homes.pdf derived from NS/DECC 2010. </t>
  </si>
  <si>
    <t>Estimated number of homes using different fuels for heating</t>
  </si>
  <si>
    <t>Estimated annual demand for heat and power for homes using gas and other fuels</t>
  </si>
  <si>
    <t>Typical Domestic Consumption Value - medium figure based on average consumption in 2017. Ofgem</t>
  </si>
  <si>
    <t>Typical Domestic Consumption Value - medium figure based on average consumption in 2017 (Electricity Profile Class 1). Ofgem</t>
  </si>
  <si>
    <t>As above</t>
  </si>
  <si>
    <r>
      <t xml:space="preserve">Estimated annual </t>
    </r>
    <r>
      <rPr>
        <b/>
        <sz val="10"/>
        <color theme="1"/>
        <rFont val="Calibri"/>
        <family val="2"/>
        <scheme val="minor"/>
      </rPr>
      <t>heat</t>
    </r>
    <r>
      <rPr>
        <sz val="10"/>
        <color theme="1"/>
        <rFont val="Calibri"/>
        <family val="2"/>
        <scheme val="minor"/>
      </rPr>
      <t xml:space="preserve"> demand for all homes using </t>
    </r>
    <r>
      <rPr>
        <b/>
        <sz val="10"/>
        <color theme="1"/>
        <rFont val="Calibri"/>
        <family val="2"/>
        <scheme val="minor"/>
      </rPr>
      <t>mains gas</t>
    </r>
    <r>
      <rPr>
        <sz val="10"/>
        <color theme="1"/>
        <rFont val="Calibri"/>
        <family val="2"/>
        <scheme val="minor"/>
      </rPr>
      <t xml:space="preserve"> as heating fuel (kWh)</t>
    </r>
  </si>
  <si>
    <r>
      <t xml:space="preserve">Est average annual demand for </t>
    </r>
    <r>
      <rPr>
        <b/>
        <sz val="10"/>
        <color theme="1"/>
        <rFont val="Calibri"/>
        <family val="2"/>
        <scheme val="minor"/>
      </rPr>
      <t>heat</t>
    </r>
    <r>
      <rPr>
        <sz val="10"/>
        <color theme="1"/>
        <rFont val="Calibri"/>
        <family val="2"/>
        <scheme val="minor"/>
      </rPr>
      <t xml:space="preserve"> in a home using </t>
    </r>
    <r>
      <rPr>
        <b/>
        <sz val="10"/>
        <color theme="1"/>
        <rFont val="Calibri"/>
        <family val="2"/>
        <scheme val="minor"/>
      </rPr>
      <t>mains gas</t>
    </r>
    <r>
      <rPr>
        <sz val="10"/>
        <color theme="1"/>
        <rFont val="Calibri"/>
        <family val="2"/>
        <scheme val="minor"/>
      </rPr>
      <t xml:space="preserve"> for heating (kWh per year)</t>
    </r>
  </si>
  <si>
    <t>Typical Domestic Consumption Value - medium figure based on average consumption in 2017 (Electricity Profile Class 2). Ofgem</t>
  </si>
  <si>
    <t>Calculated figure</t>
  </si>
  <si>
    <t>Assumed to be the same as the average power demand in a home with mains gas heating</t>
  </si>
  <si>
    <t>Assumed to be the same as the average heat demand in a home with mains gas heating</t>
  </si>
  <si>
    <r>
      <t xml:space="preserve">Est average annual demand for </t>
    </r>
    <r>
      <rPr>
        <b/>
        <sz val="10"/>
        <color theme="1"/>
        <rFont val="Calibri"/>
        <family val="2"/>
        <scheme val="minor"/>
      </rPr>
      <t>power</t>
    </r>
    <r>
      <rPr>
        <sz val="10"/>
        <color theme="1"/>
        <rFont val="Calibri"/>
        <family val="2"/>
        <scheme val="minor"/>
      </rPr>
      <t xml:space="preserve"> (electricity) in a home using </t>
    </r>
    <r>
      <rPr>
        <b/>
        <sz val="10"/>
        <color theme="1"/>
        <rFont val="Calibri"/>
        <family val="2"/>
        <scheme val="minor"/>
      </rPr>
      <t>Economy 7</t>
    </r>
    <r>
      <rPr>
        <sz val="10"/>
        <color theme="1"/>
        <rFont val="Calibri"/>
        <family val="2"/>
        <scheme val="minor"/>
      </rPr>
      <t xml:space="preserve"> heating (kWh)</t>
    </r>
  </si>
  <si>
    <r>
      <t xml:space="preserve">Est average annual demand for </t>
    </r>
    <r>
      <rPr>
        <b/>
        <sz val="10"/>
        <color theme="1"/>
        <rFont val="Calibri"/>
        <family val="2"/>
        <scheme val="minor"/>
      </rPr>
      <t>heat</t>
    </r>
    <r>
      <rPr>
        <sz val="10"/>
        <color theme="1"/>
        <rFont val="Calibri"/>
        <family val="2"/>
        <scheme val="minor"/>
      </rPr>
      <t xml:space="preserve"> in a home using </t>
    </r>
    <r>
      <rPr>
        <b/>
        <sz val="10"/>
        <color theme="1"/>
        <rFont val="Calibri"/>
        <family val="2"/>
        <scheme val="minor"/>
      </rPr>
      <t>oil</t>
    </r>
    <r>
      <rPr>
        <sz val="10"/>
        <color theme="1"/>
        <rFont val="Calibri"/>
        <family val="2"/>
        <scheme val="minor"/>
      </rPr>
      <t xml:space="preserve"> or </t>
    </r>
    <r>
      <rPr>
        <b/>
        <sz val="10"/>
        <color theme="1"/>
        <rFont val="Calibri"/>
        <family val="2"/>
        <scheme val="minor"/>
      </rPr>
      <t>solid</t>
    </r>
    <r>
      <rPr>
        <sz val="10"/>
        <color theme="1"/>
        <rFont val="Calibri"/>
        <family val="2"/>
        <scheme val="minor"/>
      </rPr>
      <t xml:space="preserve"> </t>
    </r>
    <r>
      <rPr>
        <b/>
        <sz val="10"/>
        <color theme="1"/>
        <rFont val="Calibri"/>
        <family val="2"/>
        <scheme val="minor"/>
      </rPr>
      <t>fuel</t>
    </r>
    <r>
      <rPr>
        <sz val="10"/>
        <color theme="1"/>
        <rFont val="Calibri"/>
        <family val="2"/>
        <scheme val="minor"/>
      </rPr>
      <t xml:space="preserve"> for heating (kWh)</t>
    </r>
  </si>
  <si>
    <r>
      <t xml:space="preserve">Estimated annual demand for </t>
    </r>
    <r>
      <rPr>
        <b/>
        <sz val="10"/>
        <color theme="1"/>
        <rFont val="Calibri"/>
        <family val="2"/>
        <scheme val="minor"/>
      </rPr>
      <t>heat</t>
    </r>
    <r>
      <rPr>
        <sz val="10"/>
        <color theme="1"/>
        <rFont val="Calibri"/>
        <family val="2"/>
        <scheme val="minor"/>
      </rPr>
      <t xml:space="preserve"> in all homes using </t>
    </r>
    <r>
      <rPr>
        <b/>
        <sz val="10"/>
        <color theme="1"/>
        <rFont val="Calibri"/>
        <family val="2"/>
        <scheme val="minor"/>
      </rPr>
      <t>oil heating</t>
    </r>
    <r>
      <rPr>
        <sz val="10"/>
        <color theme="1"/>
        <rFont val="Calibri"/>
        <family val="2"/>
        <scheme val="minor"/>
      </rPr>
      <t xml:space="preserve"> (kWh)</t>
    </r>
  </si>
  <si>
    <r>
      <t xml:space="preserve">Estimated annual demand for </t>
    </r>
    <r>
      <rPr>
        <b/>
        <sz val="10"/>
        <color theme="1"/>
        <rFont val="Calibri"/>
        <family val="2"/>
        <scheme val="minor"/>
      </rPr>
      <t>heat</t>
    </r>
    <r>
      <rPr>
        <sz val="10"/>
        <color theme="1"/>
        <rFont val="Calibri"/>
        <family val="2"/>
        <scheme val="minor"/>
      </rPr>
      <t xml:space="preserve"> in all homes using </t>
    </r>
    <r>
      <rPr>
        <b/>
        <sz val="10"/>
        <color theme="1"/>
        <rFont val="Calibri"/>
        <family val="2"/>
        <scheme val="minor"/>
      </rPr>
      <t>solid fuel</t>
    </r>
    <r>
      <rPr>
        <sz val="10"/>
        <color theme="1"/>
        <rFont val="Calibri"/>
        <family val="2"/>
        <scheme val="minor"/>
      </rPr>
      <t xml:space="preserve"> heating (kWh)</t>
    </r>
  </si>
  <si>
    <r>
      <t xml:space="preserve">Total estimated annual demand for </t>
    </r>
    <r>
      <rPr>
        <b/>
        <sz val="10"/>
        <color theme="1"/>
        <rFont val="Calibri"/>
        <family val="2"/>
        <scheme val="minor"/>
      </rPr>
      <t>heat</t>
    </r>
    <r>
      <rPr>
        <sz val="10"/>
        <color theme="1"/>
        <rFont val="Calibri"/>
        <family val="2"/>
        <scheme val="minor"/>
      </rPr>
      <t xml:space="preserve"> in </t>
    </r>
    <r>
      <rPr>
        <b/>
        <sz val="10"/>
        <color theme="1"/>
        <rFont val="Calibri"/>
        <family val="2"/>
        <scheme val="minor"/>
      </rPr>
      <t>all</t>
    </r>
    <r>
      <rPr>
        <sz val="10"/>
        <color theme="1"/>
        <rFont val="Calibri"/>
        <family val="2"/>
        <scheme val="minor"/>
      </rPr>
      <t xml:space="preserve"> </t>
    </r>
    <r>
      <rPr>
        <b/>
        <sz val="10"/>
        <color theme="1"/>
        <rFont val="Calibri"/>
        <family val="2"/>
        <scheme val="minor"/>
      </rPr>
      <t>homes</t>
    </r>
    <r>
      <rPr>
        <sz val="10"/>
        <color theme="1"/>
        <rFont val="Calibri"/>
        <family val="2"/>
        <scheme val="minor"/>
      </rPr>
      <t xml:space="preserve"> (kWh)</t>
    </r>
  </si>
  <si>
    <r>
      <t xml:space="preserve">Total estimated annual demand for </t>
    </r>
    <r>
      <rPr>
        <b/>
        <sz val="10"/>
        <color theme="1"/>
        <rFont val="Calibri"/>
        <family val="2"/>
        <scheme val="minor"/>
      </rPr>
      <t>power</t>
    </r>
    <r>
      <rPr>
        <sz val="10"/>
        <color theme="1"/>
        <rFont val="Calibri"/>
        <family val="2"/>
        <scheme val="minor"/>
      </rPr>
      <t xml:space="preserve"> in </t>
    </r>
    <r>
      <rPr>
        <b/>
        <sz val="10"/>
        <color theme="1"/>
        <rFont val="Calibri"/>
        <family val="2"/>
        <scheme val="minor"/>
      </rPr>
      <t>all</t>
    </r>
    <r>
      <rPr>
        <sz val="10"/>
        <color theme="1"/>
        <rFont val="Calibri"/>
        <family val="2"/>
        <scheme val="minor"/>
      </rPr>
      <t xml:space="preserve"> </t>
    </r>
    <r>
      <rPr>
        <b/>
        <sz val="10"/>
        <color theme="1"/>
        <rFont val="Calibri"/>
        <family val="2"/>
        <scheme val="minor"/>
      </rPr>
      <t>homes</t>
    </r>
    <r>
      <rPr>
        <sz val="10"/>
        <color theme="1"/>
        <rFont val="Calibri"/>
        <family val="2"/>
        <scheme val="minor"/>
      </rPr>
      <t xml:space="preserve"> (kWh)</t>
    </r>
  </si>
  <si>
    <r>
      <t xml:space="preserve">Estimated annual average demand for </t>
    </r>
    <r>
      <rPr>
        <b/>
        <sz val="10"/>
        <color theme="1"/>
        <rFont val="Calibri"/>
        <family val="2"/>
        <scheme val="minor"/>
      </rPr>
      <t>power</t>
    </r>
    <r>
      <rPr>
        <sz val="10"/>
        <color theme="1"/>
        <rFont val="Calibri"/>
        <family val="2"/>
        <scheme val="minor"/>
      </rPr>
      <t xml:space="preserve"> (electricity) </t>
    </r>
    <r>
      <rPr>
        <b/>
        <sz val="10"/>
        <color theme="1"/>
        <rFont val="Calibri"/>
        <family val="2"/>
        <scheme val="minor"/>
      </rPr>
      <t>per household</t>
    </r>
    <r>
      <rPr>
        <sz val="10"/>
        <color theme="1"/>
        <rFont val="Calibri"/>
        <family val="2"/>
        <scheme val="minor"/>
      </rPr>
      <t xml:space="preserve"> (kWh)</t>
    </r>
  </si>
  <si>
    <r>
      <t xml:space="preserve">Estimated annual average demand for </t>
    </r>
    <r>
      <rPr>
        <b/>
        <sz val="10"/>
        <color theme="1"/>
        <rFont val="Calibri"/>
        <family val="2"/>
        <scheme val="minor"/>
      </rPr>
      <t>heat</t>
    </r>
    <r>
      <rPr>
        <sz val="10"/>
        <color theme="1"/>
        <rFont val="Calibri"/>
        <family val="2"/>
        <scheme val="minor"/>
      </rPr>
      <t xml:space="preserve"> (electricity) </t>
    </r>
    <r>
      <rPr>
        <b/>
        <sz val="10"/>
        <color theme="1"/>
        <rFont val="Calibri"/>
        <family val="2"/>
        <scheme val="minor"/>
      </rPr>
      <t>per household</t>
    </r>
    <r>
      <rPr>
        <sz val="10"/>
        <color theme="1"/>
        <rFont val="Calibri"/>
        <family val="2"/>
        <scheme val="minor"/>
      </rPr>
      <t xml:space="preserve"> (kWh)</t>
    </r>
  </si>
  <si>
    <r>
      <t xml:space="preserve">Estimated annual average demand for </t>
    </r>
    <r>
      <rPr>
        <b/>
        <sz val="10"/>
        <color theme="1"/>
        <rFont val="Calibri"/>
        <family val="2"/>
        <scheme val="minor"/>
      </rPr>
      <t>power</t>
    </r>
    <r>
      <rPr>
        <sz val="10"/>
        <color theme="1"/>
        <rFont val="Calibri"/>
        <family val="2"/>
        <scheme val="minor"/>
      </rPr>
      <t xml:space="preserve"> (electricity) </t>
    </r>
    <r>
      <rPr>
        <b/>
        <sz val="10"/>
        <color theme="1"/>
        <rFont val="Calibri"/>
        <family val="2"/>
        <scheme val="minor"/>
      </rPr>
      <t>per person</t>
    </r>
    <r>
      <rPr>
        <sz val="10"/>
        <color theme="1"/>
        <rFont val="Calibri"/>
        <family val="2"/>
        <scheme val="minor"/>
      </rPr>
      <t xml:space="preserve"> (kWh)</t>
    </r>
  </si>
  <si>
    <r>
      <t xml:space="preserve">Estimated annual average demand for </t>
    </r>
    <r>
      <rPr>
        <b/>
        <sz val="10"/>
        <color theme="1"/>
        <rFont val="Calibri"/>
        <family val="2"/>
        <scheme val="minor"/>
      </rPr>
      <t>heat</t>
    </r>
    <r>
      <rPr>
        <sz val="10"/>
        <color theme="1"/>
        <rFont val="Calibri"/>
        <family val="2"/>
        <scheme val="minor"/>
      </rPr>
      <t xml:space="preserve"> (electricity) </t>
    </r>
    <r>
      <rPr>
        <b/>
        <sz val="10"/>
        <color theme="1"/>
        <rFont val="Calibri"/>
        <family val="2"/>
        <scheme val="minor"/>
      </rPr>
      <t>per person</t>
    </r>
    <r>
      <rPr>
        <sz val="10"/>
        <color theme="1"/>
        <rFont val="Calibri"/>
        <family val="2"/>
        <scheme val="minor"/>
      </rPr>
      <t xml:space="preserve"> (kWh)</t>
    </r>
  </si>
  <si>
    <r>
      <t xml:space="preserve">Estimated average demand for </t>
    </r>
    <r>
      <rPr>
        <b/>
        <sz val="10"/>
        <color theme="1"/>
        <rFont val="Calibri"/>
        <family val="2"/>
        <scheme val="minor"/>
      </rPr>
      <t>power</t>
    </r>
    <r>
      <rPr>
        <sz val="10"/>
        <color theme="1"/>
        <rFont val="Calibri"/>
        <family val="2"/>
        <scheme val="minor"/>
      </rPr>
      <t xml:space="preserve"> (electricity) </t>
    </r>
    <r>
      <rPr>
        <b/>
        <sz val="10"/>
        <color theme="1"/>
        <rFont val="Calibri"/>
        <family val="2"/>
        <scheme val="minor"/>
      </rPr>
      <t>per person</t>
    </r>
    <r>
      <rPr>
        <sz val="10"/>
        <color theme="1"/>
        <rFont val="Calibri"/>
        <family val="2"/>
        <scheme val="minor"/>
      </rPr>
      <t xml:space="preserve"> per day over one year (kWh/person/day)</t>
    </r>
  </si>
  <si>
    <r>
      <t xml:space="preserve">Estimated annual average demand for </t>
    </r>
    <r>
      <rPr>
        <b/>
        <sz val="10"/>
        <color theme="1"/>
        <rFont val="Calibri"/>
        <family val="2"/>
        <scheme val="minor"/>
      </rPr>
      <t>heat</t>
    </r>
    <r>
      <rPr>
        <sz val="10"/>
        <color theme="1"/>
        <rFont val="Calibri"/>
        <family val="2"/>
        <scheme val="minor"/>
      </rPr>
      <t xml:space="preserve"> (electricity) </t>
    </r>
    <r>
      <rPr>
        <b/>
        <sz val="10"/>
        <color theme="1"/>
        <rFont val="Calibri"/>
        <family val="2"/>
        <scheme val="minor"/>
      </rPr>
      <t>per person</t>
    </r>
    <r>
      <rPr>
        <sz val="10"/>
        <color theme="1"/>
        <rFont val="Calibri"/>
        <family val="2"/>
        <scheme val="minor"/>
      </rPr>
      <t xml:space="preserve"> per day over one year (kWh/person/day)</t>
    </r>
  </si>
  <si>
    <t>Nationally the figure is 83%. Enter the percentage between 0 and 100 for your area.</t>
  </si>
  <si>
    <t>Estimated annual average demand for power and heat per household</t>
  </si>
  <si>
    <t>Estimated average demand for heat and power per person</t>
  </si>
  <si>
    <t>Estimated average demand for heat and power per person per day</t>
  </si>
  <si>
    <t>Carbon dioxide emissions</t>
  </si>
  <si>
    <r>
      <t>Carbon factor for mains electricity (kg CO</t>
    </r>
    <r>
      <rPr>
        <vertAlign val="subscript"/>
        <sz val="10"/>
        <color theme="1"/>
        <rFont val="Calibri"/>
        <family val="2"/>
        <scheme val="minor"/>
      </rPr>
      <t>2</t>
    </r>
    <r>
      <rPr>
        <sz val="10"/>
        <color theme="1"/>
        <rFont val="Calibri"/>
        <family val="2"/>
        <scheme val="minor"/>
      </rPr>
      <t>e per kWh)</t>
    </r>
  </si>
  <si>
    <r>
      <t>Carbon factor for mains gas (kg CO</t>
    </r>
    <r>
      <rPr>
        <vertAlign val="subscript"/>
        <sz val="10"/>
        <color theme="1"/>
        <rFont val="Calibri"/>
        <family val="2"/>
        <scheme val="minor"/>
      </rPr>
      <t>2</t>
    </r>
    <r>
      <rPr>
        <sz val="10"/>
        <color theme="1"/>
        <rFont val="Calibri"/>
        <family val="2"/>
        <scheme val="minor"/>
      </rPr>
      <t>e per kWh)</t>
    </r>
  </si>
  <si>
    <t>Conversion factors 2017 available here: https://www.gov.uk/government/publications/greenhouse-gas-reporting-conversion-factors-2017 See Fuels tab and worked example</t>
  </si>
  <si>
    <t>Conversion factors 2017 available here: https://www.gov.uk/government/publications/greenhouse-gas-reporting-conversion-factors-2017 See UK Fuels tab</t>
  </si>
  <si>
    <r>
      <t>Carbon factor for oil heating (kg CO</t>
    </r>
    <r>
      <rPr>
        <vertAlign val="subscript"/>
        <sz val="10"/>
        <color theme="1"/>
        <rFont val="Calibri"/>
        <family val="2"/>
        <scheme val="minor"/>
      </rPr>
      <t>2</t>
    </r>
    <r>
      <rPr>
        <sz val="10"/>
        <color theme="1"/>
        <rFont val="Calibri"/>
        <family val="2"/>
        <scheme val="minor"/>
      </rPr>
      <t>e per kWh)</t>
    </r>
  </si>
  <si>
    <r>
      <t>kg of CO</t>
    </r>
    <r>
      <rPr>
        <vertAlign val="subscript"/>
        <sz val="10"/>
        <color theme="1"/>
        <rFont val="Calibri"/>
        <family val="2"/>
        <scheme val="minor"/>
      </rPr>
      <t>2</t>
    </r>
    <r>
      <rPr>
        <sz val="10"/>
        <color theme="1"/>
        <rFont val="Calibri"/>
        <family val="2"/>
        <scheme val="minor"/>
      </rPr>
      <t xml:space="preserve"> equivalent which includes CH</t>
    </r>
    <r>
      <rPr>
        <vertAlign val="subscript"/>
        <sz val="10"/>
        <color theme="1"/>
        <rFont val="Calibri"/>
        <family val="2"/>
        <scheme val="minor"/>
      </rPr>
      <t>4</t>
    </r>
    <r>
      <rPr>
        <sz val="10"/>
        <color theme="1"/>
        <rFont val="Calibri"/>
        <family val="2"/>
        <scheme val="minor"/>
      </rPr>
      <t xml:space="preserve"> and N</t>
    </r>
    <r>
      <rPr>
        <vertAlign val="subscript"/>
        <sz val="10"/>
        <color theme="1"/>
        <rFont val="Calibri"/>
        <family val="2"/>
        <scheme val="minor"/>
      </rPr>
      <t>2</t>
    </r>
    <r>
      <rPr>
        <sz val="10"/>
        <color theme="1"/>
        <rFont val="Calibri"/>
        <family val="2"/>
        <scheme val="minor"/>
      </rPr>
      <t>O emissions.</t>
    </r>
  </si>
  <si>
    <r>
      <t>kg of CO</t>
    </r>
    <r>
      <rPr>
        <vertAlign val="subscript"/>
        <sz val="10"/>
        <color theme="1"/>
        <rFont val="Calibri"/>
        <family val="2"/>
        <scheme val="minor"/>
      </rPr>
      <t>2</t>
    </r>
    <r>
      <rPr>
        <sz val="10"/>
        <color theme="1"/>
        <rFont val="Calibri"/>
        <family val="2"/>
        <scheme val="minor"/>
      </rPr>
      <t xml:space="preserve"> equivalent which includes CH</t>
    </r>
    <r>
      <rPr>
        <vertAlign val="subscript"/>
        <sz val="10"/>
        <color theme="1"/>
        <rFont val="Calibri"/>
        <family val="2"/>
        <scheme val="minor"/>
      </rPr>
      <t>4</t>
    </r>
    <r>
      <rPr>
        <sz val="10"/>
        <color theme="1"/>
        <rFont val="Calibri"/>
        <family val="2"/>
        <scheme val="minor"/>
      </rPr>
      <t xml:space="preserve"> and N</t>
    </r>
    <r>
      <rPr>
        <vertAlign val="subscript"/>
        <sz val="10"/>
        <color theme="1"/>
        <rFont val="Calibri"/>
        <family val="2"/>
        <scheme val="minor"/>
      </rPr>
      <t>2</t>
    </r>
    <r>
      <rPr>
        <sz val="10"/>
        <color theme="1"/>
        <rFont val="Calibri"/>
        <family val="2"/>
        <scheme val="minor"/>
      </rPr>
      <t>O emissions but excludes emissions associated with transmission &amp; distribution of electricity.</t>
    </r>
  </si>
  <si>
    <r>
      <t>kg of CO</t>
    </r>
    <r>
      <rPr>
        <vertAlign val="subscript"/>
        <sz val="10"/>
        <color theme="1"/>
        <rFont val="Calibri"/>
        <family val="2"/>
        <scheme val="minor"/>
      </rPr>
      <t>2</t>
    </r>
    <r>
      <rPr>
        <sz val="10"/>
        <color theme="1"/>
        <rFont val="Calibri"/>
        <family val="2"/>
        <scheme val="minor"/>
      </rPr>
      <t xml:space="preserve"> equivalent which includes CH</t>
    </r>
    <r>
      <rPr>
        <vertAlign val="subscript"/>
        <sz val="10"/>
        <color theme="1"/>
        <rFont val="Calibri"/>
        <family val="2"/>
        <scheme val="minor"/>
      </rPr>
      <t>4</t>
    </r>
    <r>
      <rPr>
        <sz val="10"/>
        <color theme="1"/>
        <rFont val="Calibri"/>
        <family val="2"/>
        <scheme val="minor"/>
      </rPr>
      <t xml:space="preserve"> and N</t>
    </r>
    <r>
      <rPr>
        <vertAlign val="subscript"/>
        <sz val="10"/>
        <color theme="1"/>
        <rFont val="Calibri"/>
        <family val="2"/>
        <scheme val="minor"/>
      </rPr>
      <t>2</t>
    </r>
    <r>
      <rPr>
        <sz val="10"/>
        <color theme="1"/>
        <rFont val="Calibri"/>
        <family val="2"/>
        <scheme val="minor"/>
      </rPr>
      <t>O emissions. (Gross CV for Burning Oil)</t>
    </r>
  </si>
  <si>
    <t>Conversion factors 2017 available here: https://www.gov.uk/government/publications/greenhouse-gas-reporting-conversion-factors-2017 See UK Electricity tab</t>
  </si>
  <si>
    <t>Wood use in UK: https://www.gov.uk/government/uploads/system/uploads/attachment_data/file/517572/Summary_results_of_the_domestic_wood_use_survey_.pdf
Carbon emissions for solid fuels: https://www.gov.uk/government/publications/greenhouse-gas-reporting-conversion-factors-2017 See UK Fuels and Bioenergy tabs</t>
  </si>
  <si>
    <r>
      <t>Carbon factor for solid fuel (kg CO</t>
    </r>
    <r>
      <rPr>
        <vertAlign val="subscript"/>
        <sz val="10"/>
        <color theme="1"/>
        <rFont val="Calibri"/>
        <family val="2"/>
        <scheme val="minor"/>
      </rPr>
      <t>2</t>
    </r>
    <r>
      <rPr>
        <sz val="10"/>
        <color theme="1"/>
        <rFont val="Calibri"/>
        <family val="2"/>
        <scheme val="minor"/>
      </rPr>
      <t>e per kWh)</t>
    </r>
  </si>
  <si>
    <r>
      <t>Estimated figure which assumes that 7.5% of homes heating with solid fuel use wood, in this case logs, and remainder use domestic coal. N.B there is significant regional variation in wood fuel use. These estimates exclude use of wood as a secondary fuel. Figures are CO</t>
    </r>
    <r>
      <rPr>
        <vertAlign val="subscript"/>
        <sz val="10"/>
        <color theme="1"/>
        <rFont val="Calibri"/>
        <family val="2"/>
        <scheme val="minor"/>
      </rPr>
      <t>2</t>
    </r>
    <r>
      <rPr>
        <sz val="10"/>
        <color theme="1"/>
        <rFont val="Calibri"/>
        <family val="2"/>
        <scheme val="minor"/>
      </rPr>
      <t xml:space="preserve"> equivalent</t>
    </r>
  </si>
  <si>
    <t>Estimate demand for heat and power in all homes</t>
  </si>
  <si>
    <t>Carbon factors for different fuels</t>
  </si>
  <si>
    <t>Carbon dioxide emissions per household</t>
  </si>
  <si>
    <t>Calculated figure - includes electricity used for heating</t>
  </si>
  <si>
    <r>
      <t xml:space="preserve">Estimated total annual carbon dioxide emissions for </t>
    </r>
    <r>
      <rPr>
        <b/>
        <sz val="10"/>
        <color theme="1"/>
        <rFont val="Calibri"/>
        <family val="2"/>
        <scheme val="minor"/>
      </rPr>
      <t>power</t>
    </r>
    <r>
      <rPr>
        <sz val="10"/>
        <color theme="1"/>
        <rFont val="Calibri"/>
        <family val="2"/>
        <scheme val="minor"/>
      </rPr>
      <t xml:space="preserve"> and </t>
    </r>
    <r>
      <rPr>
        <b/>
        <sz val="10"/>
        <color theme="1"/>
        <rFont val="Calibri"/>
        <family val="2"/>
        <scheme val="minor"/>
      </rPr>
      <t>heat</t>
    </r>
    <r>
      <rPr>
        <sz val="10"/>
        <color theme="1"/>
        <rFont val="Calibri"/>
        <family val="2"/>
        <scheme val="minor"/>
      </rPr>
      <t xml:space="preserve"> for all households (kg)</t>
    </r>
  </si>
  <si>
    <r>
      <t xml:space="preserve">Estimated annual carbon dioxide emissions </t>
    </r>
    <r>
      <rPr>
        <b/>
        <sz val="10"/>
        <color theme="1"/>
        <rFont val="Calibri"/>
        <family val="2"/>
        <scheme val="minor"/>
      </rPr>
      <t>per household</t>
    </r>
    <r>
      <rPr>
        <sz val="10"/>
        <color theme="1"/>
        <rFont val="Calibri"/>
        <family val="2"/>
        <scheme val="minor"/>
      </rPr>
      <t xml:space="preserve"> for </t>
    </r>
    <r>
      <rPr>
        <b/>
        <sz val="10"/>
        <color theme="1"/>
        <rFont val="Calibri"/>
        <family val="2"/>
        <scheme val="minor"/>
      </rPr>
      <t>power</t>
    </r>
    <r>
      <rPr>
        <sz val="10"/>
        <color theme="1"/>
        <rFont val="Calibri"/>
        <family val="2"/>
        <scheme val="minor"/>
      </rPr>
      <t xml:space="preserve"> (kg)</t>
    </r>
  </si>
  <si>
    <r>
      <t xml:space="preserve">Estimated annual carbon dioxide emissions </t>
    </r>
    <r>
      <rPr>
        <b/>
        <sz val="10"/>
        <color theme="1"/>
        <rFont val="Calibri"/>
        <family val="2"/>
        <scheme val="minor"/>
      </rPr>
      <t>per household</t>
    </r>
    <r>
      <rPr>
        <sz val="10"/>
        <color theme="1"/>
        <rFont val="Calibri"/>
        <family val="2"/>
        <scheme val="minor"/>
      </rPr>
      <t xml:space="preserve"> for </t>
    </r>
    <r>
      <rPr>
        <b/>
        <sz val="10"/>
        <color theme="1"/>
        <rFont val="Calibri"/>
        <family val="2"/>
        <scheme val="minor"/>
      </rPr>
      <t>heat</t>
    </r>
    <r>
      <rPr>
        <sz val="10"/>
        <color theme="1"/>
        <rFont val="Calibri"/>
        <family val="2"/>
        <scheme val="minor"/>
      </rPr>
      <t xml:space="preserve"> (kg)</t>
    </r>
  </si>
  <si>
    <r>
      <t xml:space="preserve">Estimated annual carbon dioxide emissions </t>
    </r>
    <r>
      <rPr>
        <b/>
        <sz val="10"/>
        <color theme="1"/>
        <rFont val="Calibri"/>
        <family val="2"/>
        <scheme val="minor"/>
      </rPr>
      <t>per household</t>
    </r>
    <r>
      <rPr>
        <sz val="10"/>
        <color theme="1"/>
        <rFont val="Calibri"/>
        <family val="2"/>
        <scheme val="minor"/>
      </rPr>
      <t xml:space="preserve"> for </t>
    </r>
    <r>
      <rPr>
        <b/>
        <sz val="10"/>
        <color theme="1"/>
        <rFont val="Calibri"/>
        <family val="2"/>
        <scheme val="minor"/>
      </rPr>
      <t>power</t>
    </r>
    <r>
      <rPr>
        <sz val="10"/>
        <color theme="1"/>
        <rFont val="Calibri"/>
        <family val="2"/>
        <scheme val="minor"/>
      </rPr>
      <t xml:space="preserve"> and </t>
    </r>
    <r>
      <rPr>
        <b/>
        <sz val="10"/>
        <color theme="1"/>
        <rFont val="Calibri"/>
        <family val="2"/>
        <scheme val="minor"/>
      </rPr>
      <t>heat</t>
    </r>
    <r>
      <rPr>
        <sz val="10"/>
        <color theme="1"/>
        <rFont val="Calibri"/>
        <family val="2"/>
        <scheme val="minor"/>
      </rPr>
      <t xml:space="preserve"> (kg)</t>
    </r>
  </si>
  <si>
    <t>Emissions per person</t>
  </si>
  <si>
    <r>
      <t xml:space="preserve">Estimated annual average carbon dioxide emissions </t>
    </r>
    <r>
      <rPr>
        <b/>
        <sz val="10"/>
        <color theme="1"/>
        <rFont val="Calibri"/>
        <family val="2"/>
        <scheme val="minor"/>
      </rPr>
      <t>per person</t>
    </r>
    <r>
      <rPr>
        <sz val="10"/>
        <color theme="1"/>
        <rFont val="Calibri"/>
        <family val="2"/>
        <scheme val="minor"/>
      </rPr>
      <t xml:space="preserve"> for </t>
    </r>
    <r>
      <rPr>
        <b/>
        <sz val="10"/>
        <color theme="1"/>
        <rFont val="Calibri"/>
        <family val="2"/>
        <scheme val="minor"/>
      </rPr>
      <t>power</t>
    </r>
    <r>
      <rPr>
        <sz val="10"/>
        <color theme="1"/>
        <rFont val="Calibri"/>
        <family val="2"/>
        <scheme val="minor"/>
      </rPr>
      <t xml:space="preserve"> and </t>
    </r>
    <r>
      <rPr>
        <b/>
        <sz val="10"/>
        <color theme="1"/>
        <rFont val="Calibri"/>
        <family val="2"/>
        <scheme val="minor"/>
      </rPr>
      <t>heat</t>
    </r>
    <r>
      <rPr>
        <sz val="10"/>
        <color theme="1"/>
        <rFont val="Calibri"/>
        <family val="2"/>
        <scheme val="minor"/>
      </rPr>
      <t xml:space="preserve"> (kg)</t>
    </r>
  </si>
  <si>
    <r>
      <t xml:space="preserve">Estimated average carbon dioxide emissions </t>
    </r>
    <r>
      <rPr>
        <b/>
        <sz val="10"/>
        <color theme="1"/>
        <rFont val="Calibri"/>
        <family val="2"/>
        <scheme val="minor"/>
      </rPr>
      <t>per person per day</t>
    </r>
    <r>
      <rPr>
        <sz val="10"/>
        <color theme="1"/>
        <rFont val="Calibri"/>
        <family val="2"/>
        <scheme val="minor"/>
      </rPr>
      <t xml:space="preserve"> for </t>
    </r>
    <r>
      <rPr>
        <b/>
        <sz val="10"/>
        <color theme="1"/>
        <rFont val="Calibri"/>
        <family val="2"/>
        <scheme val="minor"/>
      </rPr>
      <t>power and heat</t>
    </r>
    <r>
      <rPr>
        <sz val="10"/>
        <color theme="1"/>
        <rFont val="Calibri"/>
        <family val="2"/>
        <scheme val="minor"/>
      </rPr>
      <t xml:space="preserve"> (kg/p/day)</t>
    </r>
  </si>
  <si>
    <t>According to Office of National Statistics on average there are 2.3 people per household in the UK</t>
  </si>
  <si>
    <t>Item</t>
  </si>
  <si>
    <t>Number/statistic</t>
  </si>
  <si>
    <t>Population of village, town or city</t>
  </si>
  <si>
    <t>Number of vehicles licensed and on the road Great Britain (million)</t>
  </si>
  <si>
    <t>Great Britain mid-year estimate (2016) published by Office of National Statistics June 2017</t>
  </si>
  <si>
    <t>Average car ownership per person in the UK (cars per person)</t>
  </si>
  <si>
    <t>Population Great Britain (million)</t>
  </si>
  <si>
    <t>Estimated annual distance travelled for all cars in town, village, city (miles)</t>
  </si>
  <si>
    <t>Annual average mileage per car (GB) (miles)</t>
  </si>
  <si>
    <t>Annual average distance per car (GB) (km)</t>
  </si>
  <si>
    <t>Entered by user</t>
  </si>
  <si>
    <t>Source: https://www.racfoundation.org/motoring-faqs/mobility#a24 (See question 24).</t>
  </si>
  <si>
    <t>Based on average distance travelled per vehicle</t>
  </si>
  <si>
    <r>
      <t xml:space="preserve">Est average annual demand for </t>
    </r>
    <r>
      <rPr>
        <b/>
        <sz val="10"/>
        <color theme="1"/>
        <rFont val="Calibri"/>
        <family val="2"/>
        <scheme val="minor"/>
      </rPr>
      <t>power</t>
    </r>
    <r>
      <rPr>
        <sz val="10"/>
        <color theme="1"/>
        <rFont val="Calibri"/>
        <family val="2"/>
        <scheme val="minor"/>
      </rPr>
      <t xml:space="preserve"> (electricity) in a home using </t>
    </r>
    <r>
      <rPr>
        <b/>
        <sz val="10"/>
        <color theme="1"/>
        <rFont val="Calibri"/>
        <family val="2"/>
        <scheme val="minor"/>
      </rPr>
      <t>mains gas</t>
    </r>
    <r>
      <rPr>
        <sz val="10"/>
        <color theme="1"/>
        <rFont val="Calibri"/>
        <family val="2"/>
        <scheme val="minor"/>
      </rPr>
      <t xml:space="preserve"> for heating (kWh per year)</t>
    </r>
  </si>
  <si>
    <r>
      <t xml:space="preserve">Estimated annual </t>
    </r>
    <r>
      <rPr>
        <b/>
        <sz val="10"/>
        <color theme="1"/>
        <rFont val="Calibri"/>
        <family val="2"/>
        <scheme val="minor"/>
      </rPr>
      <t>power</t>
    </r>
    <r>
      <rPr>
        <sz val="10"/>
        <color theme="1"/>
        <rFont val="Calibri"/>
        <family val="2"/>
        <scheme val="minor"/>
      </rPr>
      <t xml:space="preserve"> (electricity) demand for </t>
    </r>
    <r>
      <rPr>
        <b/>
        <sz val="10"/>
        <color theme="1"/>
        <rFont val="Calibri"/>
        <family val="2"/>
        <scheme val="minor"/>
      </rPr>
      <t>all</t>
    </r>
    <r>
      <rPr>
        <sz val="10"/>
        <color theme="1"/>
        <rFont val="Calibri"/>
        <family val="2"/>
        <scheme val="minor"/>
      </rPr>
      <t xml:space="preserve"> homes using </t>
    </r>
    <r>
      <rPr>
        <b/>
        <sz val="10"/>
        <color theme="1"/>
        <rFont val="Calibri"/>
        <family val="2"/>
        <scheme val="minor"/>
      </rPr>
      <t>mains gas</t>
    </r>
    <r>
      <rPr>
        <sz val="10"/>
        <color theme="1"/>
        <rFont val="Calibri"/>
        <family val="2"/>
        <scheme val="minor"/>
      </rPr>
      <t xml:space="preserve"> as heating fuel (kWh)</t>
    </r>
  </si>
  <si>
    <r>
      <t xml:space="preserve">Est average annual demand for </t>
    </r>
    <r>
      <rPr>
        <b/>
        <sz val="10"/>
        <color theme="1"/>
        <rFont val="Calibri"/>
        <family val="2"/>
        <scheme val="minor"/>
      </rPr>
      <t>power</t>
    </r>
    <r>
      <rPr>
        <sz val="10"/>
        <color theme="1"/>
        <rFont val="Calibri"/>
        <family val="2"/>
        <scheme val="minor"/>
      </rPr>
      <t xml:space="preserve"> (electricity) in a home using </t>
    </r>
    <r>
      <rPr>
        <b/>
        <sz val="10"/>
        <color theme="1"/>
        <rFont val="Calibri"/>
        <family val="2"/>
        <scheme val="minor"/>
      </rPr>
      <t>oil,</t>
    </r>
    <r>
      <rPr>
        <sz val="10"/>
        <color theme="1"/>
        <rFont val="Calibri"/>
        <family val="2"/>
        <scheme val="minor"/>
      </rPr>
      <t xml:space="preserve"> or </t>
    </r>
    <r>
      <rPr>
        <b/>
        <sz val="10"/>
        <color theme="1"/>
        <rFont val="Calibri"/>
        <family val="2"/>
        <scheme val="minor"/>
      </rPr>
      <t>solid fuel</t>
    </r>
    <r>
      <rPr>
        <sz val="10"/>
        <color theme="1"/>
        <rFont val="Calibri"/>
        <family val="2"/>
        <scheme val="minor"/>
      </rPr>
      <t xml:space="preserve"> for heating (kWh)</t>
    </r>
  </si>
  <si>
    <r>
      <t xml:space="preserve">Estimated annual carbon dioxide emissions for </t>
    </r>
    <r>
      <rPr>
        <b/>
        <sz val="10"/>
        <color theme="1"/>
        <rFont val="Calibri"/>
        <family val="2"/>
        <scheme val="minor"/>
      </rPr>
      <t>power</t>
    </r>
    <r>
      <rPr>
        <sz val="10"/>
        <color theme="1"/>
        <rFont val="Calibri"/>
        <family val="2"/>
        <scheme val="minor"/>
      </rPr>
      <t xml:space="preserve"> (electricity) use in </t>
    </r>
    <r>
      <rPr>
        <b/>
        <sz val="10"/>
        <color theme="1"/>
        <rFont val="Calibri"/>
        <family val="2"/>
        <scheme val="minor"/>
      </rPr>
      <t>all</t>
    </r>
    <r>
      <rPr>
        <sz val="10"/>
        <color theme="1"/>
        <rFont val="Calibri"/>
        <family val="2"/>
        <scheme val="minor"/>
      </rPr>
      <t xml:space="preserve"> households (kg)</t>
    </r>
  </si>
  <si>
    <r>
      <t xml:space="preserve">Estimated annual carbon dioxide emissions for  </t>
    </r>
    <r>
      <rPr>
        <b/>
        <sz val="10"/>
        <color theme="1"/>
        <rFont val="Calibri"/>
        <family val="2"/>
        <scheme val="minor"/>
      </rPr>
      <t>heat</t>
    </r>
    <r>
      <rPr>
        <sz val="10"/>
        <color theme="1"/>
        <rFont val="Calibri"/>
        <family val="2"/>
        <scheme val="minor"/>
      </rPr>
      <t xml:space="preserve"> use in </t>
    </r>
    <r>
      <rPr>
        <b/>
        <sz val="10"/>
        <color theme="1"/>
        <rFont val="Calibri"/>
        <family val="2"/>
        <scheme val="minor"/>
      </rPr>
      <t>all</t>
    </r>
    <r>
      <rPr>
        <sz val="10"/>
        <color theme="1"/>
        <rFont val="Calibri"/>
        <family val="2"/>
        <scheme val="minor"/>
      </rPr>
      <t xml:space="preserve"> households (kg)</t>
    </r>
  </si>
  <si>
    <t>At end of June 2016</t>
  </si>
  <si>
    <t xml:space="preserve">Source: Vehicle licensing statistics (Quarter 2) April to June 2016 for related statistics https://assets.publishing.service.gov.uk/government/uploads/system/uploads/attachment_data/file/551499/vehicle-licensing-april-to-june-2016.pdf
See also https://www.racfoundation.org/motoring-faqs/mobility#a24 (See question 1) for supporting information.
</t>
  </si>
  <si>
    <t>Source: ONS, UK population mid-term estimate, June 2016. https://www.ons.gov.uk/peoplepopulationandcommunity/populationandmigration/populationestimates</t>
  </si>
  <si>
    <t>Percentage of diesel cars in UK fleet (%)</t>
  </si>
  <si>
    <t>Figure for end of 2016</t>
  </si>
  <si>
    <t>Source: Vehicle Licensing Statistics: Annual 2016
https://assets.publishing.service.gov.uk/government/uploads/system/uploads/attachment_data/file/608374/vehicle-licensing-statistics-2016.pdf</t>
  </si>
  <si>
    <t>Estimated average fuel consumption all petrol cars (mpg)</t>
  </si>
  <si>
    <t>Estimated average fuel consumption all diesel cars (mpg)</t>
  </si>
  <si>
    <t>Average for the whole fleet not just new vehicles. See FAQ's for further information on vehicle energy consumption</t>
  </si>
  <si>
    <t>Estimated average fuel consumption for all diesel cars (litres per 100km)</t>
  </si>
  <si>
    <t>Source: Sustainable Energy Without The Hot Air, Chap 3, page 31, note 29. This figure was for UK cars in 2005. The mpg figure has been increased by 5% to allow for improvements since 2005</t>
  </si>
  <si>
    <t>Source: Sustainable Energy Without The Hot Air, Chap 3, page 31, note 29. This figure was for UK cars in 2005. The mpg figure has been increased by 5% to allow for improvements in efficiency since 2005.</t>
  </si>
  <si>
    <t>Calorific value petrol (kWh per litre)</t>
  </si>
  <si>
    <t>Calorific value diesel (kWh per litre)</t>
  </si>
  <si>
    <t>Gross calorific value</t>
  </si>
  <si>
    <t>Source: Sustainable Energy Without The Hot Air, Chap 3, page 31.</t>
  </si>
  <si>
    <t>Calculated figures based on gross calorific value</t>
  </si>
  <si>
    <t>http://ecoscore.be/en/info/ecoscore/co2</t>
  </si>
  <si>
    <t>Transport (private cars)</t>
  </si>
  <si>
    <r>
      <t>Daily CO</t>
    </r>
    <r>
      <rPr>
        <b/>
        <sz val="8"/>
        <color theme="1"/>
        <rFont val="Calibri"/>
        <family val="2"/>
        <scheme val="minor"/>
      </rPr>
      <t>2</t>
    </r>
    <r>
      <rPr>
        <b/>
        <sz val="12"/>
        <color theme="1"/>
        <rFont val="Calibri"/>
        <family val="2"/>
        <scheme val="minor"/>
      </rPr>
      <t xml:space="preserve"> emissions</t>
    </r>
  </si>
  <si>
    <t>Start here</t>
  </si>
  <si>
    <t>Per household (kWh/yr)</t>
  </si>
  <si>
    <t>Per person (kWh/yr)</t>
  </si>
  <si>
    <t>Estimated daily energy use</t>
  </si>
  <si>
    <t>Per household (kWh/day)</t>
  </si>
  <si>
    <t>Per person (kWh/day)</t>
  </si>
  <si>
    <r>
      <t>Per household (kg CO</t>
    </r>
    <r>
      <rPr>
        <sz val="8"/>
        <color theme="1"/>
        <rFont val="Calibri"/>
        <family val="2"/>
        <scheme val="minor"/>
      </rPr>
      <t>2</t>
    </r>
    <r>
      <rPr>
        <sz val="10"/>
        <color theme="1"/>
        <rFont val="Calibri"/>
        <family val="2"/>
        <scheme val="minor"/>
      </rPr>
      <t>/year)</t>
    </r>
  </si>
  <si>
    <r>
      <t>Per person (kg CO</t>
    </r>
    <r>
      <rPr>
        <sz val="8"/>
        <color theme="1"/>
        <rFont val="Calibri"/>
        <family val="2"/>
        <scheme val="minor"/>
      </rPr>
      <t>2</t>
    </r>
    <r>
      <rPr>
        <sz val="10"/>
        <color theme="1"/>
        <rFont val="Calibri"/>
        <family val="2"/>
        <scheme val="minor"/>
      </rPr>
      <t>/year)</t>
    </r>
  </si>
  <si>
    <r>
      <t>Per household (kg CO</t>
    </r>
    <r>
      <rPr>
        <sz val="8"/>
        <color theme="1"/>
        <rFont val="Calibri"/>
        <family val="2"/>
        <scheme val="minor"/>
      </rPr>
      <t>2</t>
    </r>
    <r>
      <rPr>
        <sz val="10"/>
        <color theme="1"/>
        <rFont val="Calibri"/>
        <family val="2"/>
        <scheme val="minor"/>
      </rPr>
      <t xml:space="preserve"> per day)</t>
    </r>
  </si>
  <si>
    <r>
      <t>Per person (kg CO</t>
    </r>
    <r>
      <rPr>
        <sz val="8"/>
        <color theme="1"/>
        <rFont val="Calibri"/>
        <family val="2"/>
        <scheme val="minor"/>
      </rPr>
      <t>2</t>
    </r>
    <r>
      <rPr>
        <sz val="10"/>
        <color theme="1"/>
        <rFont val="Calibri"/>
        <family val="2"/>
        <scheme val="minor"/>
      </rPr>
      <t xml:space="preserve"> per day)</t>
    </r>
  </si>
  <si>
    <r>
      <t>Your current energy use and CO</t>
    </r>
    <r>
      <rPr>
        <b/>
        <sz val="11"/>
        <color theme="1"/>
        <rFont val="Calibri"/>
        <family val="2"/>
        <scheme val="minor"/>
      </rPr>
      <t>2</t>
    </r>
    <r>
      <rPr>
        <b/>
        <sz val="16"/>
        <color theme="1"/>
        <rFont val="Calibri"/>
        <family val="2"/>
        <scheme val="minor"/>
      </rPr>
      <t xml:space="preserve"> emissions - based on national averages</t>
    </r>
  </si>
  <si>
    <t xml:space="preserve">If PV panels were fitted to all the available unshaded roofs with the correct orientation, how much power would this generate? </t>
  </si>
  <si>
    <t>Sustainable Energy Without the Hot Air. Chap 6.</t>
  </si>
  <si>
    <r>
      <t>Similar methodology to Sustainable Energy Without the Hot Air:
In England approx 48m2 of land covered by buildings per person.
Assume that approx one quarter is south facing.
Increase area by 40% to allow for roof tilt.This gives average area of 16m</t>
    </r>
    <r>
      <rPr>
        <vertAlign val="superscript"/>
        <sz val="10"/>
        <color theme="1"/>
        <rFont val="Calibri"/>
        <family val="2"/>
        <scheme val="minor"/>
      </rPr>
      <t>2</t>
    </r>
    <r>
      <rPr>
        <sz val="10"/>
        <color theme="1"/>
        <rFont val="Calibri"/>
        <family val="2"/>
        <scheme val="minor"/>
      </rPr>
      <t xml:space="preserve"> per person
Adjust area to for rectangular panels on triangular roofs this reduces estimated area to 10m</t>
    </r>
    <r>
      <rPr>
        <vertAlign val="superscript"/>
        <sz val="10"/>
        <color theme="1"/>
        <rFont val="Calibri"/>
        <family val="2"/>
        <scheme val="minor"/>
      </rPr>
      <t>2</t>
    </r>
    <r>
      <rPr>
        <sz val="10"/>
        <color theme="1"/>
        <rFont val="Calibri"/>
        <family val="2"/>
        <scheme val="minor"/>
      </rPr>
      <t xml:space="preserve"> per person</t>
    </r>
  </si>
  <si>
    <t>Sustainable Energy Without the Hot Air.</t>
  </si>
  <si>
    <t>Efficiency of new panels on the market today taken to be between 15 and 22%.</t>
  </si>
  <si>
    <t>Various industry sources</t>
  </si>
  <si>
    <t>Calculated figure. Average power output X 24 hours</t>
  </si>
  <si>
    <t>Calculated figure. Average power per sq m X total available roof area</t>
  </si>
  <si>
    <t>Assumes PV roofs are distributed evenly across all households</t>
  </si>
  <si>
    <t>Assumes PV roofs are distributed evenly across the whole population</t>
  </si>
  <si>
    <r>
      <t xml:space="preserve">Estimated </t>
    </r>
    <r>
      <rPr>
        <b/>
        <sz val="10"/>
        <color theme="1"/>
        <rFont val="Calibri"/>
        <family val="2"/>
        <scheme val="minor"/>
      </rPr>
      <t>average area of roof</t>
    </r>
    <r>
      <rPr>
        <sz val="10"/>
        <color theme="1"/>
        <rFont val="Calibri"/>
        <family val="2"/>
        <scheme val="minor"/>
      </rPr>
      <t xml:space="preserve"> available for PV per person in England (sq m per person)</t>
    </r>
  </si>
  <si>
    <r>
      <t xml:space="preserve">Estimated </t>
    </r>
    <r>
      <rPr>
        <b/>
        <sz val="10"/>
        <color theme="1"/>
        <rFont val="Calibri"/>
        <family val="2"/>
        <scheme val="minor"/>
      </rPr>
      <t>average power of sunshine</t>
    </r>
    <r>
      <rPr>
        <sz val="10"/>
        <color theme="1"/>
        <rFont val="Calibri"/>
        <family val="2"/>
        <scheme val="minor"/>
      </rPr>
      <t xml:space="preserve"> per sq meter of south facing roof in UK (W/m</t>
    </r>
    <r>
      <rPr>
        <vertAlign val="superscript"/>
        <sz val="10"/>
        <color theme="1"/>
        <rFont val="Calibri"/>
        <family val="2"/>
        <scheme val="minor"/>
      </rPr>
      <t>2</t>
    </r>
    <r>
      <rPr>
        <sz val="10"/>
        <color theme="1"/>
        <rFont val="Calibri"/>
        <family val="2"/>
        <scheme val="minor"/>
      </rPr>
      <t>)</t>
    </r>
  </si>
  <si>
    <r>
      <t xml:space="preserve">Assumed </t>
    </r>
    <r>
      <rPr>
        <b/>
        <sz val="10"/>
        <color theme="1"/>
        <rFont val="Calibri"/>
        <family val="2"/>
        <scheme val="minor"/>
      </rPr>
      <t>average efficiency</t>
    </r>
    <r>
      <rPr>
        <sz val="10"/>
        <color theme="1"/>
        <rFont val="Calibri"/>
        <family val="2"/>
        <scheme val="minor"/>
      </rPr>
      <t xml:space="preserve"> of PV panels (%)</t>
    </r>
  </si>
  <si>
    <t>Calculated figure. Efficiency of solar panels X average power of sunshine</t>
  </si>
  <si>
    <r>
      <rPr>
        <b/>
        <sz val="10"/>
        <color theme="1"/>
        <rFont val="Calibri"/>
        <family val="2"/>
        <scheme val="minor"/>
      </rPr>
      <t>Average power for PV panels</t>
    </r>
    <r>
      <rPr>
        <sz val="10"/>
        <color theme="1"/>
        <rFont val="Calibri"/>
        <family val="2"/>
        <scheme val="minor"/>
      </rPr>
      <t xml:space="preserve"> on typical south-facing roof (W/m</t>
    </r>
    <r>
      <rPr>
        <vertAlign val="superscript"/>
        <sz val="10"/>
        <color theme="1"/>
        <rFont val="Calibri"/>
        <family val="2"/>
        <scheme val="minor"/>
      </rPr>
      <t>2</t>
    </r>
    <r>
      <rPr>
        <sz val="10"/>
        <color theme="1"/>
        <rFont val="Calibri"/>
        <family val="2"/>
        <scheme val="minor"/>
      </rPr>
      <t>)</t>
    </r>
  </si>
  <si>
    <r>
      <rPr>
        <b/>
        <sz val="10"/>
        <color theme="1"/>
        <rFont val="Calibri"/>
        <family val="2"/>
        <scheme val="minor"/>
      </rPr>
      <t>Estimated roof area</t>
    </r>
    <r>
      <rPr>
        <sz val="10"/>
        <color theme="1"/>
        <rFont val="Calibri"/>
        <family val="2"/>
        <scheme val="minor"/>
      </rPr>
      <t xml:space="preserve"> in village, town, city, available for PV based on average roof area per person (m</t>
    </r>
    <r>
      <rPr>
        <vertAlign val="superscript"/>
        <sz val="10"/>
        <color theme="1"/>
        <rFont val="Calibri"/>
        <family val="2"/>
        <scheme val="minor"/>
      </rPr>
      <t>2</t>
    </r>
    <r>
      <rPr>
        <sz val="10"/>
        <color theme="1"/>
        <rFont val="Calibri"/>
        <family val="2"/>
        <scheme val="minor"/>
      </rPr>
      <t>)</t>
    </r>
  </si>
  <si>
    <r>
      <rPr>
        <b/>
        <sz val="10"/>
        <color theme="1"/>
        <rFont val="Calibri"/>
        <family val="2"/>
        <scheme val="minor"/>
      </rPr>
      <t>Estimated average power from PV roofs</t>
    </r>
    <r>
      <rPr>
        <sz val="10"/>
        <color theme="1"/>
        <rFont val="Calibri"/>
        <family val="2"/>
        <scheme val="minor"/>
      </rPr>
      <t xml:space="preserve"> in your village, town, city (kW)</t>
    </r>
  </si>
  <si>
    <r>
      <t xml:space="preserve">Estimated </t>
    </r>
    <r>
      <rPr>
        <b/>
        <sz val="10"/>
        <color theme="1"/>
        <rFont val="Calibri"/>
        <family val="2"/>
        <scheme val="minor"/>
      </rPr>
      <t>energy generation in an average day</t>
    </r>
    <r>
      <rPr>
        <sz val="10"/>
        <color theme="1"/>
        <rFont val="Calibri"/>
        <family val="2"/>
        <scheme val="minor"/>
      </rPr>
      <t xml:space="preserve"> from all PV roofs (kWh)</t>
    </r>
  </si>
  <si>
    <r>
      <t xml:space="preserve">Estimated </t>
    </r>
    <r>
      <rPr>
        <b/>
        <sz val="10"/>
        <color theme="1"/>
        <rFont val="Calibri"/>
        <family val="2"/>
        <scheme val="minor"/>
      </rPr>
      <t>energy generation in an average day per household</t>
    </r>
    <r>
      <rPr>
        <sz val="10"/>
        <color theme="1"/>
        <rFont val="Calibri"/>
        <family val="2"/>
        <scheme val="minor"/>
      </rPr>
      <t xml:space="preserve"> from PV roofs (kWh)</t>
    </r>
  </si>
  <si>
    <r>
      <t xml:space="preserve">Estimated </t>
    </r>
    <r>
      <rPr>
        <b/>
        <sz val="10"/>
        <color theme="1"/>
        <rFont val="Calibri"/>
        <family val="2"/>
        <scheme val="minor"/>
      </rPr>
      <t>energy generation in an average day per person</t>
    </r>
    <r>
      <rPr>
        <sz val="10"/>
        <color theme="1"/>
        <rFont val="Calibri"/>
        <family val="2"/>
        <scheme val="minor"/>
      </rPr>
      <t xml:space="preserve"> from PV roofs (kWh)</t>
    </r>
  </si>
  <si>
    <t>Estimated average daily power demand for all households in your village, town, city (kWh/day)</t>
  </si>
  <si>
    <t>Estimated average daily power demand per households in your village, town, city (kWh/day)</t>
  </si>
  <si>
    <t>Estimated average daily power demand per person in your village, town, city (kWh/day)</t>
  </si>
  <si>
    <t>Excluding heating and transport, what proportion of average daily demand for power could roof top PV meet?</t>
  </si>
  <si>
    <r>
      <t xml:space="preserve">Percentage of </t>
    </r>
    <r>
      <rPr>
        <i/>
        <sz val="10"/>
        <color theme="1"/>
        <rFont val="Calibri"/>
        <family val="2"/>
        <scheme val="minor"/>
      </rPr>
      <t>average</t>
    </r>
    <r>
      <rPr>
        <sz val="10"/>
        <color theme="1"/>
        <rFont val="Calibri"/>
        <family val="2"/>
        <scheme val="minor"/>
      </rPr>
      <t xml:space="preserve"> daily power demand for all households met by roof top PV (%)</t>
    </r>
  </si>
  <si>
    <r>
      <t xml:space="preserve">Percentage of </t>
    </r>
    <r>
      <rPr>
        <i/>
        <sz val="10"/>
        <color theme="1"/>
        <rFont val="Calibri"/>
        <family val="2"/>
        <scheme val="minor"/>
      </rPr>
      <t>average</t>
    </r>
    <r>
      <rPr>
        <sz val="10"/>
        <color theme="1"/>
        <rFont val="Calibri"/>
        <family val="2"/>
        <scheme val="minor"/>
      </rPr>
      <t xml:space="preserve"> daily power demand per household met by roof top PV (%)</t>
    </r>
  </si>
  <si>
    <r>
      <t xml:space="preserve">Percentage of </t>
    </r>
    <r>
      <rPr>
        <i/>
        <sz val="10"/>
        <color theme="1"/>
        <rFont val="Calibri"/>
        <family val="2"/>
        <scheme val="minor"/>
      </rPr>
      <t>average</t>
    </r>
    <r>
      <rPr>
        <sz val="10"/>
        <color theme="1"/>
        <rFont val="Calibri"/>
        <family val="2"/>
        <scheme val="minor"/>
      </rPr>
      <t xml:space="preserve"> daily power demand per person met by roof top PV (%)</t>
    </r>
  </si>
  <si>
    <t>Calculated figure. Note these are average figures which assume that the energy generated by the PV system is spread evenly throughout the year and in each hour of the day. Clearly, both demand and the energy generated by PV panels vary hourly and seasonally. The figures also exclude additional power demand from switching to electric heating and electric vehicles, which are covered below.</t>
  </si>
  <si>
    <t>Roof mounted photovoltaic panels</t>
  </si>
  <si>
    <t>Field scale solar PV</t>
  </si>
  <si>
    <r>
      <t>Assumed annual energy yield (kWh) per kW peak of installed capacity (kWh/kW</t>
    </r>
    <r>
      <rPr>
        <vertAlign val="subscript"/>
        <sz val="10"/>
        <color theme="1"/>
        <rFont val="Calibri"/>
        <family val="2"/>
        <scheme val="minor"/>
      </rPr>
      <t>peak</t>
    </r>
    <r>
      <rPr>
        <sz val="10"/>
        <color theme="1"/>
        <rFont val="Calibri"/>
        <family val="2"/>
        <scheme val="minor"/>
      </rPr>
      <t>)</t>
    </r>
  </si>
  <si>
    <r>
      <t>Estimated annual yield per m</t>
    </r>
    <r>
      <rPr>
        <vertAlign val="superscript"/>
        <sz val="10"/>
        <color theme="1"/>
        <rFont val="Calibri"/>
        <family val="2"/>
        <scheme val="minor"/>
      </rPr>
      <t>2</t>
    </r>
    <r>
      <rPr>
        <sz val="10"/>
        <color theme="1"/>
        <rFont val="Calibri"/>
        <family val="2"/>
        <scheme val="minor"/>
      </rPr>
      <t xml:space="preserve"> of field scale solar PV (kWh/m</t>
    </r>
    <r>
      <rPr>
        <vertAlign val="superscript"/>
        <sz val="10"/>
        <color theme="1"/>
        <rFont val="Calibri"/>
        <family val="2"/>
        <scheme val="minor"/>
      </rPr>
      <t>2</t>
    </r>
    <r>
      <rPr>
        <sz val="10"/>
        <color theme="1"/>
        <rFont val="Calibri"/>
        <family val="2"/>
        <scheme val="minor"/>
      </rPr>
      <t>)</t>
    </r>
  </si>
  <si>
    <t>Assumed national average figure</t>
  </si>
  <si>
    <t>Calculated figure. Assumes Fifa approved football pitch is 90 x 120m</t>
  </si>
  <si>
    <r>
      <rPr>
        <b/>
        <sz val="10"/>
        <color theme="1"/>
        <rFont val="Calibri"/>
        <family val="2"/>
        <scheme val="minor"/>
      </rPr>
      <t>Area</t>
    </r>
    <r>
      <rPr>
        <sz val="10"/>
        <color theme="1"/>
        <rFont val="Calibri"/>
        <family val="2"/>
        <scheme val="minor"/>
      </rPr>
      <t xml:space="preserve"> of ground mounted PV required to meet total estimated </t>
    </r>
    <r>
      <rPr>
        <b/>
        <sz val="10"/>
        <color theme="1"/>
        <rFont val="Calibri"/>
        <family val="2"/>
        <scheme val="minor"/>
      </rPr>
      <t>annual power demand</t>
    </r>
    <r>
      <rPr>
        <sz val="10"/>
        <color theme="1"/>
        <rFont val="Calibri"/>
        <family val="2"/>
        <scheme val="minor"/>
      </rPr>
      <t xml:space="preserve"> for your town, village or city (m</t>
    </r>
    <r>
      <rPr>
        <vertAlign val="superscript"/>
        <sz val="10"/>
        <color theme="1"/>
        <rFont val="Calibri"/>
        <family val="2"/>
        <scheme val="minor"/>
      </rPr>
      <t>2</t>
    </r>
    <r>
      <rPr>
        <sz val="10"/>
        <color theme="1"/>
        <rFont val="Calibri"/>
        <family val="2"/>
        <scheme val="minor"/>
      </rPr>
      <t>)</t>
    </r>
  </si>
  <si>
    <r>
      <rPr>
        <b/>
        <sz val="10"/>
        <color theme="1"/>
        <rFont val="Calibri"/>
        <family val="2"/>
        <scheme val="minor"/>
      </rPr>
      <t>Area</t>
    </r>
    <r>
      <rPr>
        <sz val="10"/>
        <color theme="1"/>
        <rFont val="Calibri"/>
        <family val="2"/>
        <scheme val="minor"/>
      </rPr>
      <t xml:space="preserve"> of ground mounted PV required to meet total estimated annual power demand for your town, village or city (</t>
    </r>
    <r>
      <rPr>
        <b/>
        <sz val="10"/>
        <color theme="1"/>
        <rFont val="Calibri"/>
        <family val="2"/>
        <scheme val="minor"/>
      </rPr>
      <t>football pitches</t>
    </r>
    <r>
      <rPr>
        <sz val="10"/>
        <color theme="1"/>
        <rFont val="Calibri"/>
        <family val="2"/>
        <scheme val="minor"/>
      </rPr>
      <t>)</t>
    </r>
  </si>
  <si>
    <r>
      <rPr>
        <b/>
        <sz val="10"/>
        <color theme="1"/>
        <rFont val="Calibri"/>
        <family val="2"/>
        <scheme val="minor"/>
      </rPr>
      <t>Area</t>
    </r>
    <r>
      <rPr>
        <sz val="10"/>
        <color theme="1"/>
        <rFont val="Calibri"/>
        <family val="2"/>
        <scheme val="minor"/>
      </rPr>
      <t xml:space="preserve"> of ground mounted PV required to meet total estimated annual power demand </t>
    </r>
    <r>
      <rPr>
        <b/>
        <sz val="10"/>
        <color theme="1"/>
        <rFont val="Calibri"/>
        <family val="2"/>
        <scheme val="minor"/>
      </rPr>
      <t>per household (m</t>
    </r>
    <r>
      <rPr>
        <b/>
        <vertAlign val="superscript"/>
        <sz val="10"/>
        <color theme="1"/>
        <rFont val="Calibri"/>
        <family val="2"/>
        <scheme val="minor"/>
      </rPr>
      <t>2</t>
    </r>
    <r>
      <rPr>
        <b/>
        <sz val="10"/>
        <color theme="1"/>
        <rFont val="Calibri"/>
        <family val="2"/>
        <scheme val="minor"/>
      </rPr>
      <t>)</t>
    </r>
  </si>
  <si>
    <r>
      <rPr>
        <b/>
        <sz val="10"/>
        <color theme="1"/>
        <rFont val="Calibri"/>
        <family val="2"/>
        <scheme val="minor"/>
      </rPr>
      <t>Area</t>
    </r>
    <r>
      <rPr>
        <sz val="10"/>
        <color theme="1"/>
        <rFont val="Calibri"/>
        <family val="2"/>
        <scheme val="minor"/>
      </rPr>
      <t xml:space="preserve"> of ground mounted PV required to meet total </t>
    </r>
    <r>
      <rPr>
        <b/>
        <sz val="10"/>
        <color theme="1"/>
        <rFont val="Calibri"/>
        <family val="2"/>
        <scheme val="minor"/>
      </rPr>
      <t>estimated annual power</t>
    </r>
    <r>
      <rPr>
        <sz val="10"/>
        <color theme="1"/>
        <rFont val="Calibri"/>
        <family val="2"/>
        <scheme val="minor"/>
      </rPr>
      <t xml:space="preserve"> demand per household (</t>
    </r>
    <r>
      <rPr>
        <b/>
        <sz val="10"/>
        <color theme="1"/>
        <rFont val="Calibri"/>
        <family val="2"/>
        <scheme val="minor"/>
      </rPr>
      <t>football pitches per household</t>
    </r>
    <r>
      <rPr>
        <sz val="10"/>
        <color theme="1"/>
        <rFont val="Calibri"/>
        <family val="2"/>
        <scheme val="minor"/>
      </rPr>
      <t>)</t>
    </r>
  </si>
  <si>
    <r>
      <t>Area of ground mounted PV required to meet total estimated annual power demand per person (m</t>
    </r>
    <r>
      <rPr>
        <vertAlign val="superscript"/>
        <sz val="10"/>
        <color theme="1"/>
        <rFont val="Calibri"/>
        <family val="2"/>
        <scheme val="minor"/>
      </rPr>
      <t>2</t>
    </r>
    <r>
      <rPr>
        <sz val="10"/>
        <color theme="1"/>
        <rFont val="Calibri"/>
        <family val="2"/>
        <scheme val="minor"/>
      </rPr>
      <t>)</t>
    </r>
  </si>
  <si>
    <r>
      <t xml:space="preserve">Estimated </t>
    </r>
    <r>
      <rPr>
        <b/>
        <sz val="10"/>
        <color theme="1"/>
        <rFont val="Calibri"/>
        <family val="2"/>
        <scheme val="minor"/>
      </rPr>
      <t>peak</t>
    </r>
    <r>
      <rPr>
        <sz val="10"/>
        <color theme="1"/>
        <rFont val="Calibri"/>
        <family val="2"/>
        <scheme val="minor"/>
      </rPr>
      <t xml:space="preserve"> output per m</t>
    </r>
    <r>
      <rPr>
        <vertAlign val="superscript"/>
        <sz val="10"/>
        <color theme="1"/>
        <rFont val="Calibri"/>
        <family val="2"/>
        <scheme val="minor"/>
      </rPr>
      <t>2</t>
    </r>
    <r>
      <rPr>
        <sz val="10"/>
        <color theme="1"/>
        <rFont val="Calibri"/>
        <family val="2"/>
        <scheme val="minor"/>
      </rPr>
      <t xml:space="preserve"> of ground mounted PV (kW/m</t>
    </r>
    <r>
      <rPr>
        <vertAlign val="superscript"/>
        <sz val="10"/>
        <color theme="1"/>
        <rFont val="Calibri"/>
        <family val="2"/>
        <scheme val="minor"/>
      </rPr>
      <t>2</t>
    </r>
    <r>
      <rPr>
        <sz val="10"/>
        <color theme="1"/>
        <rFont val="Calibri"/>
        <family val="2"/>
        <scheme val="minor"/>
      </rPr>
      <t>)</t>
    </r>
  </si>
  <si>
    <t xml:space="preserve">Peak output is the maximum output of the system under optimum conditions, e.g. noon, on June 21st, assuming clear skies. This is an instantaneous figure which is why it differs signficantly from the average output.
Peak output for ground mounted PV estimated from Wheal Jane solar farm in Cornwall which occupies an area of 3.88ha and has a peak ouput of 1.55MW. This figure for the area of the system encompasses the whole compound, i.e. space between the rows of panels access road, security fencing etc. </t>
  </si>
  <si>
    <t>Excluding heating and transport, what proportion of the average demand for power could be met by on-shore wind?</t>
  </si>
  <si>
    <t>Average annual output for an on-shore wind turbine with a rated output of 2.5 to 3MW (kWh/year)</t>
  </si>
  <si>
    <t xml:space="preserve">Source: European Wind Energy Association. </t>
  </si>
  <si>
    <t>Rated output is also refered to as the capacity. It is the maximum sustained output of the turbine under optimum conditions and before speed regulation (braking) is applied.</t>
  </si>
  <si>
    <t>Average daily  output for an on-shore wind turbine with a rated output of 2.5 to 3MW (kWh/day)</t>
  </si>
  <si>
    <t>No of turbines required to meet power demand for all households</t>
  </si>
  <si>
    <t>No of turbines needed - estimate 1</t>
  </si>
  <si>
    <t>The output of a wind turbine is specific to the annual average wind speed and the characteristics of the wind (profile) in a specific location.
Turbines are matched to the location and wind profile in the locality. For these reason these are approximations and we provide two ways of assessing this.</t>
  </si>
  <si>
    <t>Estimate 2 - based on number of households</t>
  </si>
  <si>
    <t>Number of 'average household's served by a typical turbine with a rated output between 2.5 and 3MW in Europe</t>
  </si>
  <si>
    <t>Number of turbines required to serve households in your village/town</t>
  </si>
  <si>
    <t>Calculated figure. As above this is a very approximate estimate, made without any information on local wind speeds or characteristics.</t>
  </si>
  <si>
    <t>Excluding heating and transport what area of ground mounted PV would be needed to meet the average, annual demand for power?</t>
  </si>
  <si>
    <t>This sheet considers how the demand power excluding heating and transport could be met renewably.</t>
  </si>
  <si>
    <t>Renewable power</t>
  </si>
  <si>
    <t>Renewable heat</t>
  </si>
  <si>
    <t>This sheet considers how the demand for heat could be met renewably.</t>
  </si>
  <si>
    <t>Solar thermal (solar water heating)</t>
  </si>
  <si>
    <t>Assumed efficiency of solar panels at converting sunlight into heat (%)</t>
  </si>
  <si>
    <t>Estimated area of south facing room in your village/town</t>
  </si>
  <si>
    <t>Number/statistics</t>
  </si>
  <si>
    <t>Calculated figure based on average roof area per person</t>
  </si>
  <si>
    <r>
      <t>Average power of sunshine per m</t>
    </r>
    <r>
      <rPr>
        <vertAlign val="superscript"/>
        <sz val="10"/>
        <color theme="1"/>
        <rFont val="Calibri"/>
        <family val="2"/>
        <scheme val="minor"/>
      </rPr>
      <t>2</t>
    </r>
    <r>
      <rPr>
        <sz val="10"/>
        <color theme="1"/>
        <rFont val="Calibri"/>
        <family val="2"/>
        <scheme val="minor"/>
      </rPr>
      <t xml:space="preserve"> of south facing roof in the UK (W/m</t>
    </r>
    <r>
      <rPr>
        <vertAlign val="superscript"/>
        <sz val="10"/>
        <color theme="1"/>
        <rFont val="Calibri"/>
        <family val="2"/>
        <scheme val="minor"/>
      </rPr>
      <t>2</t>
    </r>
    <r>
      <rPr>
        <sz val="10"/>
        <color theme="1"/>
        <rFont val="Calibri"/>
        <family val="2"/>
        <scheme val="minor"/>
      </rPr>
      <t>)</t>
    </r>
  </si>
  <si>
    <t>Sustainable Energy Without the Hot Air</t>
  </si>
  <si>
    <r>
      <t>Average power per m</t>
    </r>
    <r>
      <rPr>
        <vertAlign val="superscript"/>
        <sz val="10"/>
        <color theme="1"/>
        <rFont val="Calibri"/>
        <family val="2"/>
        <scheme val="minor"/>
      </rPr>
      <t>2</t>
    </r>
    <r>
      <rPr>
        <sz val="10"/>
        <color theme="1"/>
        <rFont val="Calibri"/>
        <family val="2"/>
        <scheme val="minor"/>
      </rPr>
      <t xml:space="preserve"> taking account of efficiency of solar panels (W/m</t>
    </r>
    <r>
      <rPr>
        <vertAlign val="superscript"/>
        <sz val="10"/>
        <color theme="1"/>
        <rFont val="Calibri"/>
        <family val="2"/>
        <scheme val="minor"/>
      </rPr>
      <t>2</t>
    </r>
    <r>
      <rPr>
        <sz val="10"/>
        <color theme="1"/>
        <rFont val="Calibri"/>
        <family val="2"/>
        <scheme val="minor"/>
      </rPr>
      <t>)</t>
    </r>
  </si>
  <si>
    <t>Calculated figure. Percentage efficiency x average power of sunshine</t>
  </si>
  <si>
    <t>Average power from covering all available south facing roofs with solar thermal panels (kW)</t>
  </si>
  <si>
    <t>Calculated figure.</t>
  </si>
  <si>
    <t>Energy generated in an average day from all south facing roofs (kWh)</t>
  </si>
  <si>
    <t>Average energy per household per day (kWh)</t>
  </si>
  <si>
    <t>Average energy per person per day (kWh)</t>
  </si>
  <si>
    <t xml:space="preserve">Calculated figures.
Solar thermal limitations: These numbers are based on average figures i.e. we have assumed that the heat generated is produced evenly over the course of a year, and even at night. In reality most of the energy from solar thermal systems is generated in the summer months and energy is only generated in the day!
Covering all south facing roofs with solar thermal would produce much more hot water than is actually needed in the summer months and result in a lot of wasted heat. 
By opting for solar thermal we take roof space which could be allocated for solar PV generating electricity.
Solar thermal can be mounted side by side with solar PV, and combined systems which produce heat and power and starting to come on the market. </t>
  </si>
  <si>
    <t>Biomass</t>
  </si>
  <si>
    <t>Estimated annual demand for heat in all homes using gas, oil or solid fuel (but excluding biomass heating) (kWh)</t>
  </si>
  <si>
    <t>Proportion of heat demand which could be met by biomass (%)</t>
  </si>
  <si>
    <t>Same figure as used in 'The Power to Transform' report. (add link)</t>
  </si>
  <si>
    <t xml:space="preserve">Add link to report. </t>
  </si>
  <si>
    <t>Calculated figure. Heat demand from fossil fuels excludes 7.5% already assumed to use biomass (wood) heating. Figure ignore burning wood as a secondary fuel.</t>
  </si>
  <si>
    <t>Heat required  from biomass to meet 15% of annual demand (kWh)</t>
  </si>
  <si>
    <t>Assumed efficiency of wood burners/boilers (%)</t>
  </si>
  <si>
    <t>Assumes that 80% of the heat from burning wood is useful and 20% is lost as waste heat up the flue</t>
  </si>
  <si>
    <t>Energy required from biomass allowing for efficiency of burner/boiler (kWh)</t>
  </si>
  <si>
    <t>Source: Biomass Energy Centre. Potential outputs of biofuels per hectare per, annum. These figures are approximate and depend on the geographical location, cultivation inputs and techniques, harvesting and processing etc. The energy content is dependent on the moisture content of the fuel. In both cases it is assumed that this is 30% moisture content.</t>
  </si>
  <si>
    <t>Energy content per unit area for wood from forestry residues, short rotation wood thinnings etc) MWh/ha.a</t>
  </si>
  <si>
    <t>Energy content per unit area for wood from forestry residues, short rotation willow coppice) MWh/ha.a</t>
  </si>
  <si>
    <t xml:space="preserve">As above. </t>
  </si>
  <si>
    <t>Area of wood (from forestry) required for heat production (ha)</t>
  </si>
  <si>
    <r>
      <t>Area of wood (from forestry) required for heat production (km</t>
    </r>
    <r>
      <rPr>
        <vertAlign val="superscript"/>
        <sz val="10"/>
        <color theme="1"/>
        <rFont val="Calibri"/>
        <family val="2"/>
        <scheme val="minor"/>
      </rPr>
      <t>2</t>
    </r>
    <r>
      <rPr>
        <sz val="10"/>
        <color theme="1"/>
        <rFont val="Calibri"/>
        <family val="2"/>
        <scheme val="minor"/>
      </rPr>
      <t>)</t>
    </r>
  </si>
  <si>
    <t>Area of wood (from willow coppice) required for heat production (ha)</t>
  </si>
  <si>
    <r>
      <t>Area of wood (from willow coppice) required for heat production (km</t>
    </r>
    <r>
      <rPr>
        <vertAlign val="superscript"/>
        <sz val="10"/>
        <color theme="1"/>
        <rFont val="Calibri"/>
        <family val="2"/>
        <scheme val="minor"/>
      </rPr>
      <t>2</t>
    </r>
    <r>
      <rPr>
        <sz val="10"/>
        <color theme="1"/>
        <rFont val="Calibri"/>
        <family val="2"/>
        <scheme val="minor"/>
      </rPr>
      <t>)</t>
    </r>
  </si>
  <si>
    <t>Heat pumps</t>
  </si>
  <si>
    <t>Assumed coefficient of performance (CoP)</t>
  </si>
  <si>
    <t>Proportion of annual heat demand for all households to be met by biomass (as above) (kWh)</t>
  </si>
  <si>
    <t>Electrical energy input required to meet residual heat demand (kWh)</t>
  </si>
  <si>
    <t>Average energy required to run heat pumps per day per household (kWh)</t>
  </si>
  <si>
    <t>Average energy required to run heat pumps per person per day (kWh)</t>
  </si>
  <si>
    <t>Residual heat demand to be met by heat pumps (kWh)</t>
  </si>
  <si>
    <r>
      <t xml:space="preserve">Calculated figure.
Limitations: Heat pumps work best in well insulated, energy efficient homes, so it makes sense to consider them </t>
    </r>
    <r>
      <rPr>
        <i/>
        <sz val="10"/>
        <color theme="1"/>
        <rFont val="Calibri"/>
        <family val="2"/>
        <scheme val="minor"/>
      </rPr>
      <t>after</t>
    </r>
    <r>
      <rPr>
        <sz val="10"/>
        <color theme="1"/>
        <rFont val="Calibri"/>
        <family val="2"/>
        <scheme val="minor"/>
      </rPr>
      <t xml:space="preserve"> energy efficiency measures and programmes have been provided in existing buildings. </t>
    </r>
  </si>
  <si>
    <t>Meeting the need for heat and power renewably (before adding energy efficiency measures)</t>
  </si>
  <si>
    <t>By covering all unshaded, south facing roofs with solar PV, on average you could meet</t>
  </si>
  <si>
    <t>Notes and comments</t>
  </si>
  <si>
    <t xml:space="preserve">And between </t>
  </si>
  <si>
    <t>and</t>
  </si>
  <si>
    <t xml:space="preserve">If every unshaded, south facing roof was covered in solar thermal on average it would generate </t>
  </si>
  <si>
    <t>And</t>
  </si>
  <si>
    <t>Solar thermal (hot water)</t>
  </si>
  <si>
    <t>Biomass (heating with wood)</t>
  </si>
  <si>
    <t xml:space="preserve">Meeting </t>
  </si>
  <si>
    <r>
      <t>km</t>
    </r>
    <r>
      <rPr>
        <vertAlign val="superscript"/>
        <sz val="10"/>
        <color theme="1"/>
        <rFont val="Calibri"/>
        <family val="2"/>
        <scheme val="minor"/>
      </rPr>
      <t>2</t>
    </r>
    <r>
      <rPr>
        <sz val="10"/>
        <color theme="1"/>
        <rFont val="Calibri"/>
        <family val="2"/>
        <scheme val="minor"/>
      </rPr>
      <t xml:space="preserve"> of wood (using forestry residues) or</t>
    </r>
  </si>
  <si>
    <r>
      <t>km</t>
    </r>
    <r>
      <rPr>
        <vertAlign val="superscript"/>
        <sz val="10"/>
        <color theme="1"/>
        <rFont val="Calibri"/>
        <family val="2"/>
        <scheme val="minor"/>
      </rPr>
      <t>2</t>
    </r>
    <r>
      <rPr>
        <sz val="10"/>
        <color theme="1"/>
        <rFont val="Calibri"/>
        <family val="2"/>
        <scheme val="minor"/>
      </rPr>
      <t xml:space="preserve"> of willow coppice</t>
    </r>
  </si>
  <si>
    <t>Before applying energy efficiency measures</t>
  </si>
  <si>
    <t>To get started enter the three bits of information about your village, or town below</t>
  </si>
  <si>
    <t>For your village, town (kWh/yr)</t>
  </si>
  <si>
    <t>For your village, town (kWh/day)</t>
  </si>
  <si>
    <t>Alternatively, to meet the annual demand for power in your village/town (excluding renewable heat and transport) would require</t>
  </si>
  <si>
    <t>Roof mounted PV</t>
  </si>
  <si>
    <t>Ground mounted PV</t>
  </si>
  <si>
    <t>On-shore wind turbines</t>
  </si>
  <si>
    <r>
      <t xml:space="preserve">kWh of heat as hot water per day </t>
    </r>
    <r>
      <rPr>
        <b/>
        <sz val="10"/>
        <color theme="1"/>
        <rFont val="Calibri"/>
        <family val="2"/>
        <scheme val="minor"/>
      </rPr>
      <t>per household</t>
    </r>
    <r>
      <rPr>
        <sz val="10"/>
        <color theme="1"/>
        <rFont val="Calibri"/>
        <family val="2"/>
        <scheme val="minor"/>
      </rPr>
      <t xml:space="preserve"> per day</t>
    </r>
  </si>
  <si>
    <r>
      <t xml:space="preserve">kWh of heat as hot water per day </t>
    </r>
    <r>
      <rPr>
        <b/>
        <sz val="10"/>
        <color theme="1"/>
        <rFont val="Calibri"/>
        <family val="2"/>
        <scheme val="minor"/>
      </rPr>
      <t>per person</t>
    </r>
    <r>
      <rPr>
        <sz val="10"/>
        <color theme="1"/>
        <rFont val="Calibri"/>
        <family val="2"/>
        <scheme val="minor"/>
      </rPr>
      <t xml:space="preserve"> per day</t>
    </r>
  </si>
  <si>
    <t>kWh per day</t>
  </si>
  <si>
    <t>To</t>
  </si>
  <si>
    <t>% of the annual heat demand for all households currently using gas, oil or solid fuels other than wood, would require</t>
  </si>
  <si>
    <r>
      <t xml:space="preserve">Meeting the remaining requirement for space heating currently provided by gas, oil or solid fuels other than biomass using heat pumps, reduces the average daily energy use </t>
    </r>
    <r>
      <rPr>
        <b/>
        <sz val="10"/>
        <color theme="1"/>
        <rFont val="Calibri"/>
        <family val="2"/>
        <scheme val="minor"/>
      </rPr>
      <t>per household</t>
    </r>
    <r>
      <rPr>
        <sz val="10"/>
        <color theme="1"/>
        <rFont val="Calibri"/>
        <family val="2"/>
        <scheme val="minor"/>
      </rPr>
      <t xml:space="preserve"> for heat from (all sources) from:</t>
    </r>
  </si>
  <si>
    <r>
      <t xml:space="preserve">Meeting the remaining requirement for space heating currently provided by gas, oil or solid fuels other than biomass using heat pumps, reduces the average daily energy use </t>
    </r>
    <r>
      <rPr>
        <b/>
        <sz val="10"/>
        <color theme="1"/>
        <rFont val="Calibri"/>
        <family val="2"/>
        <scheme val="minor"/>
      </rPr>
      <t>per person</t>
    </r>
    <r>
      <rPr>
        <sz val="10"/>
        <color theme="1"/>
        <rFont val="Calibri"/>
        <family val="2"/>
        <scheme val="minor"/>
      </rPr>
      <t xml:space="preserve"> for heat from all sources from:</t>
    </r>
  </si>
  <si>
    <t>List key assumptions and simplifications</t>
  </si>
  <si>
    <r>
      <t>For your village, or town (kg CO</t>
    </r>
    <r>
      <rPr>
        <sz val="8"/>
        <color theme="1"/>
        <rFont val="Calibri"/>
        <family val="2"/>
        <scheme val="minor"/>
      </rPr>
      <t>2</t>
    </r>
    <r>
      <rPr>
        <sz val="10"/>
        <color theme="1"/>
        <rFont val="Calibri"/>
        <family val="2"/>
        <scheme val="minor"/>
      </rPr>
      <t>/year)</t>
    </r>
  </si>
  <si>
    <r>
      <t>For your village, or town (kg CO</t>
    </r>
    <r>
      <rPr>
        <sz val="8"/>
        <color theme="1"/>
        <rFont val="Calibri"/>
        <family val="2"/>
        <scheme val="minor"/>
      </rPr>
      <t>2</t>
    </r>
    <r>
      <rPr>
        <sz val="10"/>
        <color theme="1"/>
        <rFont val="Calibri"/>
        <family val="2"/>
        <scheme val="minor"/>
      </rPr>
      <t xml:space="preserve"> per day)</t>
    </r>
  </si>
  <si>
    <t>Information</t>
  </si>
  <si>
    <t>After energy efficiency measures have been applied</t>
  </si>
  <si>
    <t>Add energy efficiciency measures</t>
  </si>
  <si>
    <t>Measure</t>
  </si>
  <si>
    <t>Evidence from academic studies suggests that a 2% reduction in electricity use is possible</t>
  </si>
  <si>
    <t>And a 5% reduction in gas consumption is achieveable</t>
  </si>
  <si>
    <t>Reduction in energy demand (power and heat) through energy efficiency measures (%)</t>
  </si>
  <si>
    <t>Enter a value (between 0 and 40) for the percentage reduction in energy demand through energy efficiency measures.</t>
  </si>
  <si>
    <r>
      <t xml:space="preserve">Reduction in </t>
    </r>
    <r>
      <rPr>
        <b/>
        <sz val="10"/>
        <color theme="1"/>
        <rFont val="Calibri"/>
        <family val="2"/>
        <scheme val="minor"/>
      </rPr>
      <t>electricity</t>
    </r>
    <r>
      <rPr>
        <sz val="10"/>
        <color theme="1"/>
        <rFont val="Calibri"/>
        <family val="2"/>
        <scheme val="minor"/>
      </rPr>
      <t xml:space="preserve"> (power) use by changing behaviour (%)</t>
    </r>
  </si>
  <si>
    <r>
      <t xml:space="preserve">Reduction in </t>
    </r>
    <r>
      <rPr>
        <b/>
        <sz val="10"/>
        <color theme="1"/>
        <rFont val="Calibri"/>
        <family val="2"/>
        <scheme val="minor"/>
      </rPr>
      <t>heat demand</t>
    </r>
    <r>
      <rPr>
        <sz val="10"/>
        <color theme="1"/>
        <rFont val="Calibri"/>
        <family val="2"/>
        <scheme val="minor"/>
      </rPr>
      <t xml:space="preserve"> by changing behaviour (%)</t>
    </r>
  </si>
  <si>
    <t>Decide by how much the use of heat and power can be reduced through energy efficiency behaviour and measures</t>
  </si>
  <si>
    <t>N/A</t>
  </si>
  <si>
    <r>
      <t xml:space="preserve">Heating </t>
    </r>
    <r>
      <rPr>
        <sz val="12"/>
        <color theme="1"/>
        <rFont val="Calibri"/>
        <family val="2"/>
        <scheme val="minor"/>
      </rPr>
      <t>(with energy efficiency)</t>
    </r>
  </si>
  <si>
    <r>
      <t xml:space="preserve">Heating </t>
    </r>
    <r>
      <rPr>
        <sz val="12"/>
        <color theme="1"/>
        <rFont val="Calibri"/>
        <family val="2"/>
        <scheme val="minor"/>
      </rPr>
      <t>(before energy efficiency)</t>
    </r>
  </si>
  <si>
    <r>
      <rPr>
        <b/>
        <sz val="12"/>
        <color theme="1"/>
        <rFont val="Calibri"/>
        <family val="2"/>
        <scheme val="minor"/>
      </rPr>
      <t>Power</t>
    </r>
    <r>
      <rPr>
        <sz val="12"/>
        <color theme="1"/>
        <rFont val="Calibri"/>
        <family val="2"/>
        <scheme val="minor"/>
      </rPr>
      <t xml:space="preserve"> (with energy efficiency measures)</t>
    </r>
  </si>
  <si>
    <r>
      <t xml:space="preserve">Heat and power </t>
    </r>
    <r>
      <rPr>
        <sz val="12"/>
        <color theme="1"/>
        <rFont val="Calibri"/>
        <family val="2"/>
        <scheme val="minor"/>
      </rPr>
      <t>(before energy efficiency measures)</t>
    </r>
  </si>
  <si>
    <r>
      <t xml:space="preserve">Heat and power </t>
    </r>
    <r>
      <rPr>
        <sz val="12"/>
        <color theme="1"/>
        <rFont val="Calibri"/>
        <family val="2"/>
        <scheme val="minor"/>
      </rPr>
      <t>with energy efficiency measures)</t>
    </r>
  </si>
  <si>
    <t>Before energy efficiency measures</t>
  </si>
  <si>
    <t>After energy efficiency measures</t>
  </si>
  <si>
    <t>Source: European Wind Energy Association</t>
  </si>
  <si>
    <t>Sources</t>
  </si>
  <si>
    <t>football pitches of ground mounted PV before energy efficiency measures</t>
  </si>
  <si>
    <t xml:space="preserve">But this reduces to </t>
  </si>
  <si>
    <t>football pitches after energy efficiency measures</t>
  </si>
  <si>
    <t>Wind turbines with a rated capacity of 2.5 to 3MW, before energy efficiency measures</t>
  </si>
  <si>
    <t>But this reduces to</t>
  </si>
  <si>
    <t>Wind turbines with a rated capacity of 2.5 to 3MW, after energy efficiency measures</t>
  </si>
  <si>
    <t>to</t>
  </si>
  <si>
    <r>
      <t xml:space="preserve">% of annual power demand (excluding renewable heat and transport) in your village/town </t>
    </r>
    <r>
      <rPr>
        <b/>
        <sz val="10"/>
        <color theme="1"/>
        <rFont val="Calibri"/>
        <family val="2"/>
        <scheme val="minor"/>
      </rPr>
      <t>before</t>
    </r>
    <r>
      <rPr>
        <sz val="10"/>
        <color theme="1"/>
        <rFont val="Calibri"/>
        <family val="2"/>
        <scheme val="minor"/>
      </rPr>
      <t xml:space="preserve"> reducing power demand through energy efficiency measures</t>
    </r>
  </si>
  <si>
    <r>
      <t xml:space="preserve">% of annual power demand (excluding renewable heat and transport) in your village/town </t>
    </r>
    <r>
      <rPr>
        <b/>
        <sz val="10"/>
        <color theme="1"/>
        <rFont val="Calibri"/>
        <family val="2"/>
        <scheme val="minor"/>
      </rPr>
      <t>after</t>
    </r>
    <r>
      <rPr>
        <sz val="10"/>
        <color theme="1"/>
        <rFont val="Calibri"/>
        <family val="2"/>
        <scheme val="minor"/>
      </rPr>
      <t xml:space="preserve"> reducing demand through energy efficiency measures</t>
    </r>
  </si>
  <si>
    <t xml:space="preserve">And </t>
  </si>
  <si>
    <t>After applying energy efficiency measures</t>
  </si>
  <si>
    <t>And after energy efficiency measures from</t>
  </si>
  <si>
    <t>From</t>
  </si>
  <si>
    <r>
      <t xml:space="preserve">Estimated energy content of fuel used annually by </t>
    </r>
    <r>
      <rPr>
        <b/>
        <sz val="10"/>
        <color theme="1"/>
        <rFont val="Calibri"/>
        <family val="2"/>
        <scheme val="minor"/>
      </rPr>
      <t>petrol</t>
    </r>
    <r>
      <rPr>
        <sz val="10"/>
        <color theme="1"/>
        <rFont val="Calibri"/>
        <family val="2"/>
        <scheme val="minor"/>
      </rPr>
      <t xml:space="preserve"> cars in the area (kWh)</t>
    </r>
  </si>
  <si>
    <r>
      <t xml:space="preserve">Estimated energy content of fuel used annually by </t>
    </r>
    <r>
      <rPr>
        <b/>
        <sz val="10"/>
        <color theme="1"/>
        <rFont val="Calibri"/>
        <family val="2"/>
        <scheme val="minor"/>
      </rPr>
      <t>diesel</t>
    </r>
    <r>
      <rPr>
        <sz val="10"/>
        <color theme="1"/>
        <rFont val="Calibri"/>
        <family val="2"/>
        <scheme val="minor"/>
      </rPr>
      <t xml:space="preserve"> cars in the area (kWh)</t>
    </r>
  </si>
  <si>
    <t>CO2 emissions per litre of diesel (kg CO2 per litre)</t>
  </si>
  <si>
    <t>Average car ownership</t>
  </si>
  <si>
    <t>Average mileage per year</t>
  </si>
  <si>
    <t>Proportion of diesel cars on the road</t>
  </si>
  <si>
    <t>Energy content of diesel and petrol</t>
  </si>
  <si>
    <r>
      <t>CO</t>
    </r>
    <r>
      <rPr>
        <vertAlign val="subscript"/>
        <sz val="10"/>
        <color theme="1"/>
        <rFont val="Calibri"/>
        <family val="2"/>
        <scheme val="minor"/>
      </rPr>
      <t>2</t>
    </r>
    <r>
      <rPr>
        <sz val="10"/>
        <color theme="1"/>
        <rFont val="Calibri"/>
        <family val="2"/>
        <scheme val="minor"/>
      </rPr>
      <t xml:space="preserve"> emissions per litre of petrol (kg CO</t>
    </r>
    <r>
      <rPr>
        <vertAlign val="subscript"/>
        <sz val="10"/>
        <color theme="1"/>
        <rFont val="Calibri"/>
        <family val="2"/>
        <scheme val="minor"/>
      </rPr>
      <t>2</t>
    </r>
    <r>
      <rPr>
        <sz val="10"/>
        <color theme="1"/>
        <rFont val="Calibri"/>
        <family val="2"/>
        <scheme val="minor"/>
      </rPr>
      <t xml:space="preserve"> per litre)</t>
    </r>
  </si>
  <si>
    <r>
      <t>Estimated annual CO</t>
    </r>
    <r>
      <rPr>
        <vertAlign val="subscript"/>
        <sz val="10"/>
        <color theme="1"/>
        <rFont val="Calibri"/>
        <family val="2"/>
        <scheme val="minor"/>
      </rPr>
      <t>2</t>
    </r>
    <r>
      <rPr>
        <sz val="10"/>
        <color theme="1"/>
        <rFont val="Calibri"/>
        <family val="2"/>
        <scheme val="minor"/>
      </rPr>
      <t xml:space="preserve"> emissions for all petrol cars in the area (kg)</t>
    </r>
  </si>
  <si>
    <r>
      <t>Estimated annual CO</t>
    </r>
    <r>
      <rPr>
        <vertAlign val="subscript"/>
        <sz val="10"/>
        <color theme="1"/>
        <rFont val="Calibri"/>
        <family val="2"/>
        <scheme val="minor"/>
      </rPr>
      <t>2</t>
    </r>
    <r>
      <rPr>
        <sz val="10"/>
        <color theme="1"/>
        <rFont val="Calibri"/>
        <family val="2"/>
        <scheme val="minor"/>
      </rPr>
      <t xml:space="preserve"> emissions for all diesel cars in the area (kg)</t>
    </r>
  </si>
  <si>
    <r>
      <t>Average CO</t>
    </r>
    <r>
      <rPr>
        <vertAlign val="subscript"/>
        <sz val="10"/>
        <color theme="1"/>
        <rFont val="Calibri"/>
        <family val="2"/>
        <scheme val="minor"/>
      </rPr>
      <t>2</t>
    </r>
    <r>
      <rPr>
        <sz val="10"/>
        <color theme="1"/>
        <rFont val="Calibri"/>
        <family val="2"/>
        <scheme val="minor"/>
      </rPr>
      <t xml:space="preserve"> emissions per car user per day for travel by car (kg)</t>
    </r>
  </si>
  <si>
    <t>Energy used annually in petrol and diesel cars</t>
  </si>
  <si>
    <t>Carbon dioxide pollution from petrol and diesel cars</t>
  </si>
  <si>
    <t>Average energy use per household and per person</t>
  </si>
  <si>
    <t>Energy require per 100 passenger km for average petrol car (kWh)</t>
  </si>
  <si>
    <t>Estimated average fuel consumption for petrol cars (litres per 100km)</t>
  </si>
  <si>
    <t>Calculated figure - same assumption as above.</t>
  </si>
  <si>
    <t>Average fuel consumption for all cars on the road in the UK</t>
  </si>
  <si>
    <t>Annual fuel consumption of all cars in your area</t>
  </si>
  <si>
    <t>Estimated annual distance travelled for all cars in your area (km)</t>
  </si>
  <si>
    <t>Estimated car ownership for your area (cars)</t>
  </si>
  <si>
    <t>Petrol and diesel cars</t>
  </si>
  <si>
    <t>Electric vehicles</t>
  </si>
  <si>
    <t>Add electric vehicles</t>
  </si>
  <si>
    <t>Measures</t>
  </si>
  <si>
    <t>Enter number below</t>
  </si>
  <si>
    <t>Estimated car ownership for your area</t>
  </si>
  <si>
    <t>All diesel and petrol cars</t>
  </si>
  <si>
    <t>Estimated annual fuel consumption for all petrol cars in your area (litres)</t>
  </si>
  <si>
    <t>Estimated annual fuel consumption for all diesel cars in your area (litres)</t>
  </si>
  <si>
    <t>Energy required per 100 passenger km for petrol, diesel and 100% electric cars</t>
  </si>
  <si>
    <t>Energy require per 100 passenger km for average electric car (kWh)</t>
  </si>
  <si>
    <t>Estimated figure. Sustainble Energy Without the Hot Air estimates consumption to be 15kWh. Information provided on-line suggests EV drivers require 19kWh per 100 p km for real world driving</t>
  </si>
  <si>
    <t>Average annual energy use for travel by car (fossil fuel and electric) per household (kWh)</t>
  </si>
  <si>
    <t>Assumes energy use is spread evenly across all households</t>
  </si>
  <si>
    <r>
      <t>Average CO</t>
    </r>
    <r>
      <rPr>
        <vertAlign val="subscript"/>
        <sz val="10"/>
        <color theme="1"/>
        <rFont val="Calibri"/>
        <family val="2"/>
        <scheme val="minor"/>
      </rPr>
      <t>2</t>
    </r>
    <r>
      <rPr>
        <sz val="10"/>
        <color theme="1"/>
        <rFont val="Calibri"/>
        <family val="2"/>
        <scheme val="minor"/>
      </rPr>
      <t xml:space="preserve"> emissions per person per year for travel by car (kg)</t>
    </r>
  </si>
  <si>
    <r>
      <t>Assumes CO</t>
    </r>
    <r>
      <rPr>
        <vertAlign val="subscript"/>
        <sz val="10"/>
        <color theme="1"/>
        <rFont val="Calibri"/>
        <family val="2"/>
        <scheme val="minor"/>
      </rPr>
      <t>2</t>
    </r>
    <r>
      <rPr>
        <sz val="10"/>
        <color theme="1"/>
        <rFont val="Calibri"/>
        <family val="2"/>
        <scheme val="minor"/>
      </rPr>
      <t xml:space="preserve"> emissions from car travel spread evenly across the whole population not just car owners/users</t>
    </r>
  </si>
  <si>
    <t>Assumes energy use is spread evenly across the whole population not just car owners/users</t>
  </si>
  <si>
    <t>Estimated annual energy required by all electric vehicles in your area (kWh)</t>
  </si>
  <si>
    <t>Average energy use per person per day for travel by fossil fuel and electric car (kWh per person per day)</t>
  </si>
  <si>
    <r>
      <t>Average CO</t>
    </r>
    <r>
      <rPr>
        <b/>
        <vertAlign val="subscript"/>
        <sz val="10"/>
        <color theme="1"/>
        <rFont val="Calibri"/>
        <family val="2"/>
        <scheme val="minor"/>
      </rPr>
      <t>2</t>
    </r>
    <r>
      <rPr>
        <b/>
        <sz val="10"/>
        <color theme="1"/>
        <rFont val="Calibri"/>
        <family val="2"/>
        <scheme val="minor"/>
      </rPr>
      <t xml:space="preserve"> emissions per person</t>
    </r>
  </si>
  <si>
    <t>By how much do we need to reduce carbon emissions each year to get to zero?</t>
  </si>
  <si>
    <t>In how many years do you want to be 'zero carbon'? E.g 20, 30, 40 etc</t>
  </si>
  <si>
    <t>Log X</t>
  </si>
  <si>
    <t>To calculate the annual reduction in emissions required to reach (almost) zero in the time specified we use the following formula Log x = (log(emissions now/emissions at the end of the period))/number of years to get to zero</t>
  </si>
  <si>
    <t>Annual emission reduction factor</t>
  </si>
  <si>
    <t>Factor by which annual emissions should be multiplied to achieve reduction in emissions in number of years specified</t>
  </si>
  <si>
    <t>Annual percentage reduction in emissions needed to reach 'zero' in the number of years specified (%)</t>
  </si>
  <si>
    <t>% a year for the next</t>
  </si>
  <si>
    <t>years</t>
  </si>
  <si>
    <t>Getting to zero emissions</t>
  </si>
  <si>
    <t xml:space="preserve">kg per annum to zero, means reducing emissions by </t>
  </si>
  <si>
    <r>
      <t xml:space="preserve">To cut emissions in your village/town from the current level </t>
    </r>
    <r>
      <rPr>
        <i/>
        <sz val="10"/>
        <color theme="1"/>
        <rFont val="Calibri"/>
        <family val="2"/>
        <scheme val="minor"/>
      </rPr>
      <t>(before</t>
    </r>
    <r>
      <rPr>
        <sz val="10"/>
        <color theme="1"/>
        <rFont val="Calibri"/>
        <family val="2"/>
        <scheme val="minor"/>
      </rPr>
      <t xml:space="preserve"> applying energy efficiency measures) of</t>
    </r>
  </si>
  <si>
    <t>Assuming a straight line reduction. The total includes heat, power and transport</t>
  </si>
  <si>
    <r>
      <t>Annual CO</t>
    </r>
    <r>
      <rPr>
        <vertAlign val="subscript"/>
        <sz val="10"/>
        <color theme="1"/>
        <rFont val="Calibri"/>
        <family val="2"/>
        <scheme val="minor"/>
      </rPr>
      <t>2</t>
    </r>
    <r>
      <rPr>
        <sz val="10"/>
        <color theme="1"/>
        <rFont val="Calibri"/>
        <family val="2"/>
        <scheme val="minor"/>
      </rPr>
      <t xml:space="preserve"> emissions today for village, or town (kg)</t>
    </r>
  </si>
  <si>
    <t>Annual emissions at the end of the carbon reduction period</t>
  </si>
  <si>
    <t>Note: To make the formula work we assume emissions at the end of the carbon reduction period are 1 kg per annum rather than 0</t>
  </si>
  <si>
    <t>Estimated annual energy use before and after energy efficiency</t>
  </si>
  <si>
    <t>Heat and power - annual demand (kWh/yr)</t>
  </si>
  <si>
    <r>
      <t xml:space="preserve">Heat, power and car use </t>
    </r>
    <r>
      <rPr>
        <b/>
        <i/>
        <sz val="12"/>
        <color theme="1"/>
        <rFont val="Calibri"/>
        <family val="2"/>
        <scheme val="minor"/>
      </rPr>
      <t>before</t>
    </r>
    <r>
      <rPr>
        <b/>
        <sz val="12"/>
        <color theme="1"/>
        <rFont val="Calibri"/>
        <family val="2"/>
        <scheme val="minor"/>
      </rPr>
      <t xml:space="preserve"> </t>
    </r>
    <r>
      <rPr>
        <sz val="12"/>
        <color theme="1"/>
        <rFont val="Calibri"/>
        <family val="2"/>
        <scheme val="minor"/>
      </rPr>
      <t>energy efficiency measures</t>
    </r>
  </si>
  <si>
    <r>
      <t xml:space="preserve">Heat, power and car use </t>
    </r>
    <r>
      <rPr>
        <b/>
        <i/>
        <sz val="12"/>
        <color theme="1"/>
        <rFont val="Calibri"/>
        <family val="2"/>
        <scheme val="minor"/>
      </rPr>
      <t>after</t>
    </r>
    <r>
      <rPr>
        <sz val="12"/>
        <color theme="1"/>
        <rFont val="Calibri"/>
        <family val="2"/>
        <scheme val="minor"/>
      </rPr>
      <t xml:space="preserve"> energy efficiency measures</t>
    </r>
  </si>
  <si>
    <t>Heat, power &amp; car use - annual demand (kWh/yr)</t>
  </si>
  <si>
    <t>Assuming</t>
  </si>
  <si>
    <t>%</t>
  </si>
  <si>
    <t>of cars are 100% electric</t>
  </si>
  <si>
    <r>
      <t xml:space="preserve">Power: electricity </t>
    </r>
    <r>
      <rPr>
        <sz val="12"/>
        <color theme="1"/>
        <rFont val="Calibri"/>
        <family val="2"/>
        <scheme val="minor"/>
      </rPr>
      <t>(before energy efficiency)</t>
    </r>
  </si>
  <si>
    <t>Estimated annual energy use (kWh/yr)</t>
  </si>
  <si>
    <r>
      <rPr>
        <b/>
        <i/>
        <sz val="10"/>
        <color theme="1"/>
        <rFont val="Calibri"/>
        <family val="2"/>
        <scheme val="minor"/>
      </rPr>
      <t>Before</t>
    </r>
    <r>
      <rPr>
        <b/>
        <sz val="10"/>
        <color theme="1"/>
        <rFont val="Calibri"/>
        <family val="2"/>
        <scheme val="minor"/>
      </rPr>
      <t xml:space="preserve"> energy efficiency measures and assuming</t>
    </r>
  </si>
  <si>
    <r>
      <rPr>
        <b/>
        <i/>
        <sz val="10"/>
        <color theme="1"/>
        <rFont val="Calibri"/>
        <family val="2"/>
        <scheme val="minor"/>
      </rPr>
      <t>After</t>
    </r>
    <r>
      <rPr>
        <b/>
        <sz val="10"/>
        <color theme="1"/>
        <rFont val="Calibri"/>
        <family val="2"/>
        <scheme val="minor"/>
      </rPr>
      <t xml:space="preserve"> energy efficiency measures and assuming</t>
    </r>
  </si>
  <si>
    <t>How is annual energy demand for your village or town split between heat, power and transport?</t>
  </si>
  <si>
    <t>Daily energy demand per household and per person before and after energy efficiency</t>
  </si>
  <si>
    <t>And energy and car use are averaged out across the year and all households and individuals</t>
  </si>
  <si>
    <r>
      <t>Estimated annual CO</t>
    </r>
    <r>
      <rPr>
        <b/>
        <vertAlign val="subscript"/>
        <sz val="16"/>
        <color theme="1"/>
        <rFont val="Calibri"/>
        <family val="2"/>
        <scheme val="minor"/>
      </rPr>
      <t>2</t>
    </r>
    <r>
      <rPr>
        <b/>
        <sz val="16"/>
        <color theme="1"/>
        <rFont val="Calibri"/>
        <family val="2"/>
        <scheme val="minor"/>
      </rPr>
      <t xml:space="preserve"> emissions before and after energy efficiency</t>
    </r>
  </si>
  <si>
    <r>
      <t>How are annual CO</t>
    </r>
    <r>
      <rPr>
        <b/>
        <vertAlign val="subscript"/>
        <sz val="16"/>
        <color theme="1"/>
        <rFont val="Calibri"/>
        <family val="2"/>
        <scheme val="minor"/>
      </rPr>
      <t>2</t>
    </r>
    <r>
      <rPr>
        <b/>
        <sz val="16"/>
        <color theme="1"/>
        <rFont val="Calibri"/>
        <family val="2"/>
        <scheme val="minor"/>
      </rPr>
      <t xml:space="preserve"> emissions for your village or town split between heat, power and transport?</t>
    </r>
  </si>
  <si>
    <r>
      <t>Estimated annual CO</t>
    </r>
    <r>
      <rPr>
        <b/>
        <sz val="8"/>
        <color theme="1"/>
        <rFont val="Calibri"/>
        <family val="2"/>
        <scheme val="minor"/>
      </rPr>
      <t>2</t>
    </r>
    <r>
      <rPr>
        <b/>
        <sz val="12"/>
        <color theme="1"/>
        <rFont val="Calibri"/>
        <family val="2"/>
        <scheme val="minor"/>
      </rPr>
      <t xml:space="preserve"> emissions (kg/yr)</t>
    </r>
  </si>
  <si>
    <r>
      <t>Daily CO</t>
    </r>
    <r>
      <rPr>
        <b/>
        <vertAlign val="subscript"/>
        <sz val="16"/>
        <color theme="1"/>
        <rFont val="Calibri"/>
        <family val="2"/>
        <scheme val="minor"/>
      </rPr>
      <t>2</t>
    </r>
    <r>
      <rPr>
        <b/>
        <sz val="16"/>
        <color theme="1"/>
        <rFont val="Calibri"/>
        <family val="2"/>
        <scheme val="minor"/>
      </rPr>
      <t xml:space="preserve"> emissions per household and per person</t>
    </r>
  </si>
  <si>
    <t>Entre the percentage of petrol and diesel cars replaced by 100% electric vehicles (%)</t>
  </si>
  <si>
    <t>The proportion of petrol and diesel cars replaced by electric vehicles</t>
  </si>
  <si>
    <t>What is this?</t>
  </si>
  <si>
    <t>How not to use it</t>
  </si>
  <si>
    <t>Can I share it?</t>
  </si>
  <si>
    <t>Scope and limitations</t>
  </si>
  <si>
    <t>Frequently asked questions</t>
  </si>
  <si>
    <t>How does it work?</t>
  </si>
  <si>
    <t xml:space="preserve">The spreadsheet tool is intended as a tool to stimulate debate, discussion and action about how we move from an energy system based on fossil fuels to one based on renewable energy.
In it you will find lots of references to sources of data which will enable you to explore the issues in more detail and tailor the numbers more closely to the village or town in which you live. </t>
  </si>
  <si>
    <t>How can I use it?</t>
  </si>
  <si>
    <r>
      <t xml:space="preserve">If you are mainly interested in getting ball park estimates (based on national statistics) for the demand for heat and power, the impact of energy efficiency and renewable energy options you may only need to look at </t>
    </r>
    <r>
      <rPr>
        <b/>
        <sz val="10"/>
        <color theme="1"/>
        <rFont val="Calibri"/>
        <family val="2"/>
        <scheme val="minor"/>
      </rPr>
      <t>'Start here'</t>
    </r>
    <r>
      <rPr>
        <sz val="10"/>
        <color theme="1"/>
        <rFont val="Calibri"/>
        <family val="2"/>
        <scheme val="minor"/>
      </rPr>
      <t xml:space="preserve"> and the </t>
    </r>
    <r>
      <rPr>
        <b/>
        <sz val="10"/>
        <color theme="1"/>
        <rFont val="Calibri"/>
        <family val="2"/>
        <scheme val="minor"/>
      </rPr>
      <t>'Graphs'</t>
    </r>
    <r>
      <rPr>
        <sz val="10"/>
        <color theme="1"/>
        <rFont val="Calibri"/>
        <family val="2"/>
        <scheme val="minor"/>
      </rPr>
      <t xml:space="preserve"> tab. 
If you are interested in getting into the detail of these calculations or putting numbers against issues being debated you may want to explore the calculations set out in the other tabs. 
The sheet is unlocked so any of the calculations or values can be changed, or deleted. </t>
    </r>
    <r>
      <rPr>
        <b/>
        <sz val="10"/>
        <color theme="1"/>
        <rFont val="Calibri"/>
        <family val="2"/>
        <scheme val="minor"/>
      </rPr>
      <t xml:space="preserve">However, you are strongly advised to keep a clean copy of the entire spreadsheet before amending the calculations or the values in the cells. </t>
    </r>
  </si>
  <si>
    <r>
      <t>This is a</t>
    </r>
    <r>
      <rPr>
        <b/>
        <sz val="10"/>
        <color theme="1"/>
        <rFont val="Calibri"/>
        <family val="2"/>
        <scheme val="minor"/>
      </rPr>
      <t xml:space="preserve"> ready reckoner</t>
    </r>
    <r>
      <rPr>
        <sz val="10"/>
        <color theme="1"/>
        <rFont val="Calibri"/>
        <family val="2"/>
        <scheme val="minor"/>
      </rPr>
      <t xml:space="preserve"> intended to start conversations about how we change our energy system for the better. It is based on national statistics and, with the exception of population data, 
does not include an information specific to the village or town in which you live. 
It is intended to provide ball park figures which are roughly right for villages and towns which reflection national averages. It cannot and should not be used for detailed discussions about local policy, energy use, transport, renewable energy or carbon emissions. Details of how to make the information in this tool more reflective of your local area are included in the sheet itself. </t>
    </r>
  </si>
  <si>
    <t xml:space="preserve">This tool has been produced by Climate Works Ltd thanks to funding by Frome Town Council. It may be used, copied and shared freely provided this is not for commercial purposes, and is without charge. </t>
  </si>
  <si>
    <t>A brief introduction to this spreadsheet tool</t>
  </si>
  <si>
    <t>Disclaimer</t>
  </si>
  <si>
    <t>Sources of information - not listed elsewhere</t>
  </si>
  <si>
    <t>David JC MacKay, ISBN-10: 0954452933 ISBN-13: 978-0954452933, 2009</t>
  </si>
  <si>
    <t>Also available as a free download here: https://www.withouthotair.com/</t>
  </si>
  <si>
    <t>A Clean and Healthy Future for Frome</t>
  </si>
  <si>
    <t>http://www.frometowncouncil.gov.uk/your-community/resilience/clean-future/a-clean-healthy-future-for-frome-final-sept-2016/</t>
  </si>
  <si>
    <t>Written by the late Professor David MacKay. 'Addressing the sustainable energy crisis in an objective manner, this enlightening book analyzes the relevant numbers and organizes a plan for change on both a personal level and an international scale--for Europe, the United States, and the world. In case study format, this informative reference answers questions surrounding nuclear energy, the potential of sustainable fossil fuels, and the possibilities of sharing renewable power with foreign countries'.</t>
  </si>
  <si>
    <t xml:space="preserve">Produced by Climate Works Ltd, (www.climate-works.co.uk) this report considers what Frome would need to do to meet its need for heat and power without using fossil fuels. It adopts a similar approach to this spreadsheet and Sustainable Energy Without the Hot Air. </t>
  </si>
  <si>
    <t>Frome Town Council</t>
  </si>
  <si>
    <t>Question</t>
  </si>
  <si>
    <t>Response</t>
  </si>
  <si>
    <t>I have worked out the energy consumption for our home and it's a lot higher/lower than the figures shown in the spreadsheet. Why is this?</t>
  </si>
  <si>
    <t>The numbers don't change in the way I'd expect when I reduce the number of homes off the gas network.</t>
  </si>
  <si>
    <r>
      <t>That's quite possible. The figures given in this spreadsheet are based on national averages so in most cases energy demand and CO</t>
    </r>
    <r>
      <rPr>
        <sz val="8"/>
        <color theme="1"/>
        <rFont val="Calibri"/>
        <family val="2"/>
        <scheme val="minor"/>
      </rPr>
      <t>2</t>
    </r>
    <r>
      <rPr>
        <sz val="10"/>
        <color theme="1"/>
        <rFont val="Calibri"/>
        <family val="2"/>
        <scheme val="minor"/>
      </rPr>
      <t xml:space="preserve"> emissions will slightly different and in some cases very different to the figures shown here. 
You can amend the numbers given in the tab Baseline heat and power to reflect, but keep a clean copy of the whole spreadsheet in case you want to refer back to this. </t>
    </r>
  </si>
  <si>
    <t xml:space="preserve">Total energy demand falls as the number of homes off the gas network increases. Energy demand by household is taken from  average figures produced by Ofgem. The most likely explanation for this reduction is that electric heating is more likely to be found in flats than houses, hence the average energy demand will be lower. </t>
  </si>
  <si>
    <t xml:space="preserve">Your 'miles per gallon' figures for diesel and petrol vehicles seem a bit mean. </t>
  </si>
  <si>
    <t xml:space="preserve">It turns out that it is very difficult to find average consumption figures for the fleet of petrol and diesel cars driving on the roads today. There are websites in which you can enter your own mpg figures and check these against cars of a similar type, but unfortunately they don't give an average figure for the fleet as a whole. Of course manufacturers produce figures for the new cars, but these reflect consumption figures under test conditions rather than real world driving. And there's Diesel Gate, one of the implications of which is that diesel cars are not nearly as efficient at the numbers show on the test certificate. MPG figures can be adjusted in the Baseline car use tab, but bear in mind that there is good evidence that people don't drive as efficiently as they think they do, and they way you drive influences energy consumption. Sustainable Energy Without the Hot Air as a good chapter on cars and how to drive using less energy. </t>
  </si>
  <si>
    <t>The figure you have assumed for the average energy consumption per 100 passenger km for electric vehicles seems a bit high.</t>
  </si>
  <si>
    <t xml:space="preserve">The figure of 19kWh per 100pkm comes from comments made by Robert Llewellyn on his Fully Charged Youtube channel. These are based on real world driving and a range of EV's. Again driving style will have an impact on energy use. Sustainable Energy Without the Hot Air uses a slightly lower figure for 15kWh per 100pkm. The higher figure is a bit more cautious but feels about right. As with the mpg figure this can be changed. </t>
  </si>
  <si>
    <r>
      <t>What about the energy use and CO</t>
    </r>
    <r>
      <rPr>
        <sz val="8"/>
        <color theme="1"/>
        <rFont val="Calibri"/>
        <family val="2"/>
        <scheme val="minor"/>
      </rPr>
      <t>2</t>
    </r>
    <r>
      <rPr>
        <sz val="10"/>
        <color theme="1"/>
        <rFont val="Calibri"/>
        <family val="2"/>
        <scheme val="minor"/>
      </rPr>
      <t xml:space="preserve"> emissions for things such as flying or going on holiday?</t>
    </r>
  </si>
  <si>
    <r>
      <t>Flying has been excluded from these calculations deliberately. That's not to say that it isn't important; in fact it's one of the biggest if not the biggest contributor to personal CO</t>
    </r>
    <r>
      <rPr>
        <vertAlign val="subscript"/>
        <sz val="10"/>
        <color theme="1"/>
        <rFont val="Calibri"/>
        <family val="2"/>
        <scheme val="minor"/>
      </rPr>
      <t>2</t>
    </r>
    <r>
      <rPr>
        <sz val="10"/>
        <color theme="1"/>
        <rFont val="Calibri"/>
        <family val="2"/>
        <scheme val="minor"/>
      </rPr>
      <t xml:space="preserve"> emissions. It has been excluded here, along with other holiday emissions for simplicity. Again there is plenty of information on-line and in the sources and links shown here. </t>
    </r>
  </si>
  <si>
    <t>What is it for?</t>
  </si>
  <si>
    <r>
      <t>This spreadsheet is a 'ready reckoner' for estimating energy use, and carbon emissions in a town or village, based on some basic information about it and drawing on national statistics.
From this information it estimates how much energy is used and how much CO</t>
    </r>
    <r>
      <rPr>
        <sz val="8"/>
        <color theme="1"/>
        <rFont val="Calibri"/>
        <family val="2"/>
        <scheme val="minor"/>
      </rPr>
      <t>2</t>
    </r>
    <r>
      <rPr>
        <sz val="10"/>
        <color theme="1"/>
        <rFont val="Calibri"/>
        <family val="2"/>
        <scheme val="minor"/>
      </rPr>
      <t xml:space="preserve"> pollution is produced. And it allows you to see what happens if you improve energy efficiency and switch to electric vehicles. 
You can also see how the demand for heat and power could be met using renewable energy generation rather than burning fossil fuels. </t>
    </r>
  </si>
  <si>
    <r>
      <t>The spreadsheet is based on national statistics. Using these and the number of people living in your village/town and the percentage of households on the gas network a range of other numbers can be calculated. 
The methodology is deliberately very similar to that used in Sustainable Energy Without the Hot Air by David JC MacKay, which is also the first place to go if you want to explore this issue in more depth. 
You will see that the spreadsheet is divided into tabs. '</t>
    </r>
    <r>
      <rPr>
        <b/>
        <sz val="10"/>
        <color theme="1"/>
        <rFont val="Calibri"/>
        <family val="2"/>
        <scheme val="minor"/>
      </rPr>
      <t>Start here'</t>
    </r>
    <r>
      <rPr>
        <sz val="10"/>
        <color theme="1"/>
        <rFont val="Calibri"/>
        <family val="2"/>
        <scheme val="minor"/>
      </rPr>
      <t xml:space="preserve"> is where you enter basic information about where you live, how much you think you could reduce the need for heat and power through energy efficieny measures and the proportion of diesel and petrol cars replaced by electric vehicles. 
</t>
    </r>
    <r>
      <rPr>
        <b/>
        <sz val="10"/>
        <color theme="1"/>
        <rFont val="Calibri"/>
        <family val="2"/>
        <scheme val="minor"/>
      </rPr>
      <t>Start here</t>
    </r>
    <r>
      <rPr>
        <sz val="10"/>
        <color theme="1"/>
        <rFont val="Calibri"/>
        <family val="2"/>
        <scheme val="minor"/>
      </rPr>
      <t xml:space="preserve"> also summarises how much energy you need, CO</t>
    </r>
    <r>
      <rPr>
        <sz val="8"/>
        <color theme="1"/>
        <rFont val="Calibri"/>
        <family val="2"/>
        <scheme val="minor"/>
      </rPr>
      <t>2</t>
    </r>
    <r>
      <rPr>
        <sz val="10"/>
        <color theme="1"/>
        <rFont val="Calibri"/>
        <family val="2"/>
        <scheme val="minor"/>
      </rPr>
      <t xml:space="preserve"> is produced and how much renewable energy you need to replace fossil fuels. 
The other tabs show the detailed calculations from which the summary data in</t>
    </r>
    <r>
      <rPr>
        <b/>
        <sz val="10"/>
        <color theme="1"/>
        <rFont val="Calibri"/>
        <family val="2"/>
        <scheme val="minor"/>
      </rPr>
      <t xml:space="preserve"> 'Start here'</t>
    </r>
    <r>
      <rPr>
        <sz val="10"/>
        <color theme="1"/>
        <rFont val="Calibri"/>
        <family val="2"/>
        <scheme val="minor"/>
      </rPr>
      <t xml:space="preserve"> is produced. All of these calculation cells are unlocked and next to each you will see information about the assumptions made and where the information has come from. </t>
    </r>
  </si>
  <si>
    <r>
      <t>Despite including several hundred calulations this spreadsheet is based on some very simple assumptions,</t>
    </r>
    <r>
      <rPr>
        <sz val="10"/>
        <color theme="1"/>
        <rFont val="Calibri"/>
        <family val="2"/>
        <scheme val="minor"/>
      </rPr>
      <t xml:space="preserve"> such as the average number of people per household, and the average energy consumption per household. 
The advantage of this over-simplified approach is that the tool can be used anywhere in England without users having to provide lots of detailed local statistics. The disadvantage is that at best the information produced will only ever be roughly right and in some instances will be way off the real picture in your locality. The counter to this two fold. First, in discussions about how we change our energy system it is more helpful to start with </t>
    </r>
    <r>
      <rPr>
        <i/>
        <sz val="10"/>
        <color theme="1"/>
        <rFont val="Calibri"/>
        <family val="2"/>
        <scheme val="minor"/>
      </rPr>
      <t>some</t>
    </r>
    <r>
      <rPr>
        <sz val="10"/>
        <color theme="1"/>
        <rFont val="Calibri"/>
        <family val="2"/>
        <scheme val="minor"/>
      </rPr>
      <t xml:space="preserve"> numbers, even if these are only roughly right, than simply go on gut instinct which may be wholely misleading. Second, the methology used here, and in </t>
    </r>
    <r>
      <rPr>
        <b/>
        <sz val="10"/>
        <color theme="1"/>
        <rFont val="Calibri"/>
        <family val="2"/>
        <scheme val="minor"/>
      </rPr>
      <t>Sustainable Energy Without the Hot Air</t>
    </r>
    <r>
      <rPr>
        <sz val="10"/>
        <color theme="1"/>
        <rFont val="Calibri"/>
        <family val="2"/>
        <scheme val="minor"/>
      </rPr>
      <t xml:space="preserve">, is one that can be refineded and adapted to make it more applicable to individuals, householders and settlements of any size and location. </t>
    </r>
  </si>
  <si>
    <r>
      <t xml:space="preserve">Est average annual demand for </t>
    </r>
    <r>
      <rPr>
        <b/>
        <sz val="10"/>
        <color theme="1"/>
        <rFont val="Calibri"/>
        <family val="2"/>
        <scheme val="minor"/>
      </rPr>
      <t>power</t>
    </r>
    <r>
      <rPr>
        <sz val="10"/>
        <color theme="1"/>
        <rFont val="Calibri"/>
        <family val="2"/>
        <scheme val="minor"/>
      </rPr>
      <t xml:space="preserve"> (electricity) in </t>
    </r>
    <r>
      <rPr>
        <b/>
        <sz val="10"/>
        <color theme="1"/>
        <rFont val="Calibri"/>
        <family val="2"/>
        <scheme val="minor"/>
      </rPr>
      <t>all homes</t>
    </r>
    <r>
      <rPr>
        <sz val="10"/>
        <color theme="1"/>
        <rFont val="Calibri"/>
        <family val="2"/>
        <scheme val="minor"/>
      </rPr>
      <t xml:space="preserve"> using </t>
    </r>
    <r>
      <rPr>
        <b/>
        <sz val="10"/>
        <color theme="1"/>
        <rFont val="Calibri"/>
        <family val="2"/>
        <scheme val="minor"/>
      </rPr>
      <t>Economy 7</t>
    </r>
    <r>
      <rPr>
        <sz val="10"/>
        <color theme="1"/>
        <rFont val="Calibri"/>
        <family val="2"/>
        <scheme val="minor"/>
      </rPr>
      <t xml:space="preserve"> heating (kWh)</t>
    </r>
  </si>
  <si>
    <r>
      <t xml:space="preserve">Est average annual demand for </t>
    </r>
    <r>
      <rPr>
        <b/>
        <sz val="10"/>
        <color theme="1"/>
        <rFont val="Calibri"/>
        <family val="2"/>
        <scheme val="minor"/>
      </rPr>
      <t>power</t>
    </r>
    <r>
      <rPr>
        <sz val="10"/>
        <color theme="1"/>
        <rFont val="Calibri"/>
        <family val="2"/>
        <scheme val="minor"/>
      </rPr>
      <t xml:space="preserve"> (electricity) in </t>
    </r>
    <r>
      <rPr>
        <b/>
        <sz val="10"/>
        <color theme="1"/>
        <rFont val="Calibri"/>
        <family val="2"/>
        <scheme val="minor"/>
      </rPr>
      <t>all</t>
    </r>
    <r>
      <rPr>
        <sz val="10"/>
        <color theme="1"/>
        <rFont val="Calibri"/>
        <family val="2"/>
        <scheme val="minor"/>
      </rPr>
      <t xml:space="preserve"> </t>
    </r>
    <r>
      <rPr>
        <b/>
        <sz val="10"/>
        <color theme="1"/>
        <rFont val="Calibri"/>
        <family val="2"/>
        <scheme val="minor"/>
      </rPr>
      <t>homes</t>
    </r>
    <r>
      <rPr>
        <sz val="10"/>
        <color theme="1"/>
        <rFont val="Calibri"/>
        <family val="2"/>
        <scheme val="minor"/>
      </rPr>
      <t xml:space="preserve"> using </t>
    </r>
    <r>
      <rPr>
        <b/>
        <sz val="10"/>
        <color theme="1"/>
        <rFont val="Calibri"/>
        <family val="2"/>
        <scheme val="minor"/>
      </rPr>
      <t>oil heating</t>
    </r>
    <r>
      <rPr>
        <sz val="10"/>
        <color theme="1"/>
        <rFont val="Calibri"/>
        <family val="2"/>
        <scheme val="minor"/>
      </rPr>
      <t xml:space="preserve"> (kWh)</t>
    </r>
  </si>
  <si>
    <r>
      <t xml:space="preserve">Est average annual demand for </t>
    </r>
    <r>
      <rPr>
        <b/>
        <sz val="10"/>
        <color theme="1"/>
        <rFont val="Calibri"/>
        <family val="2"/>
        <scheme val="minor"/>
      </rPr>
      <t>power</t>
    </r>
    <r>
      <rPr>
        <sz val="10"/>
        <color theme="1"/>
        <rFont val="Calibri"/>
        <family val="2"/>
        <scheme val="minor"/>
      </rPr>
      <t xml:space="preserve"> (electricity) in </t>
    </r>
    <r>
      <rPr>
        <b/>
        <sz val="10"/>
        <color theme="1"/>
        <rFont val="Calibri"/>
        <family val="2"/>
        <scheme val="minor"/>
      </rPr>
      <t>all</t>
    </r>
    <r>
      <rPr>
        <sz val="10"/>
        <color theme="1"/>
        <rFont val="Calibri"/>
        <family val="2"/>
        <scheme val="minor"/>
      </rPr>
      <t xml:space="preserve"> </t>
    </r>
    <r>
      <rPr>
        <b/>
        <sz val="10"/>
        <color theme="1"/>
        <rFont val="Calibri"/>
        <family val="2"/>
        <scheme val="minor"/>
      </rPr>
      <t>homes</t>
    </r>
    <r>
      <rPr>
        <sz val="10"/>
        <color theme="1"/>
        <rFont val="Calibri"/>
        <family val="2"/>
        <scheme val="minor"/>
      </rPr>
      <t xml:space="preserve"> using </t>
    </r>
    <r>
      <rPr>
        <b/>
        <sz val="10"/>
        <color theme="1"/>
        <rFont val="Calibri"/>
        <family val="2"/>
        <scheme val="minor"/>
      </rPr>
      <t>solid fuel</t>
    </r>
    <r>
      <rPr>
        <sz val="10"/>
        <color theme="1"/>
        <rFont val="Calibri"/>
        <family val="2"/>
        <scheme val="minor"/>
      </rPr>
      <t xml:space="preserve"> heating (kWh)</t>
    </r>
  </si>
  <si>
    <t>COP: Ratio of heat output to electrical energy input. A CoP of 3 means that for every kWh of electricity used to drive the heat pump, 3 kWh of heat are produced. This is equivalent to an appliance which is 300% efficient</t>
  </si>
  <si>
    <t>Number of years taken to get to almost zero?</t>
  </si>
  <si>
    <r>
      <rPr>
        <b/>
        <i/>
        <sz val="10"/>
        <color theme="1"/>
        <rFont val="Calibri"/>
        <family val="2"/>
        <scheme val="minor"/>
      </rPr>
      <t>After</t>
    </r>
    <r>
      <rPr>
        <b/>
        <sz val="10"/>
        <color theme="1"/>
        <rFont val="Calibri"/>
        <family val="2"/>
        <scheme val="minor"/>
      </rPr>
      <t xml:space="preserve"> energy efficiency measures and assuming</t>
    </r>
  </si>
  <si>
    <t>When I plot the annual carbon reduction needed to get to zero using the figure give here I get a graph with a very rapid reduction in the early years which then flattens out. Why isn't this a straight line reduction?</t>
  </si>
  <si>
    <t>True, the formula used here is based on a percentage annual reduction. Because this is a percentage of what you start with each year, in the early years the reduction, in real terms, is very large, but over time this flattens out, as the annual amount you start with reduces year on year. The area under the graph represents the cumulative emissions, which produce the radiative forcing which in turn 'drive' climate change. So this is probably the most desireable way of cutting emissions if not the most practical. There is a great deal of debate about how quickly we should and can make emission reductions. Politicians tend to err towards a straight-line reduction or allowing emissions to continue more or less as they are on the assumption we can make rapid cuts in the future. This latter approach leads to the highest cumulative emissions of all. To keep the average temperature rise to 1.5 deg C we need to make rapid reductions in emissions quickly.</t>
  </si>
  <si>
    <t xml:space="preserve">This spreadsheet is provided for the express purpose of initiating discussion within local communities. The information within it is based on national averages and is not specific to any one location or area.  It should not be used to calculate personal, household or local energy consumption or emissions of carbon dioxide and should not be used, on its own, as the basis for formulating policy or strategy or making policy statements. Niether Frome Town Council, nor Climate Works Ltd can accept any liability for errors contained within this spreadsheet. </t>
  </si>
  <si>
    <t>Energy Map</t>
  </si>
  <si>
    <t>http://energymap.theconvergingworld.org/energymap/main</t>
  </si>
  <si>
    <t xml:space="preserve">The Converging World. </t>
  </si>
  <si>
    <r>
      <t xml:space="preserve">EnergyMap, is </t>
    </r>
    <r>
      <rPr>
        <sz val="10"/>
        <color theme="1"/>
        <rFont val="Calibri"/>
        <family val="2"/>
        <scheme val="minor"/>
      </rPr>
      <t>a</t>
    </r>
    <r>
      <rPr>
        <sz val="10"/>
        <color theme="1"/>
        <rFont val="Calibri"/>
        <family val="2"/>
        <scheme val="minor"/>
      </rPr>
      <t xml:space="preserve"> free</t>
    </r>
    <r>
      <rPr>
        <sz val="10"/>
        <color theme="1"/>
        <rFont val="Calibri"/>
        <family val="2"/>
        <scheme val="minor"/>
      </rPr>
      <t xml:space="preserve"> tool developed by The Converging World to visualise and understand energy consumption in England and Wales, and to assist all those working to reduce our energy consumption, fossil fuel dependence and CO2 emissions. With EnergyMap, you can:</t>
    </r>
    <r>
      <rPr>
        <sz val="10"/>
        <color theme="1"/>
        <rFont val="Calibri"/>
        <family val="2"/>
        <scheme val="minor"/>
      </rPr>
      <t xml:space="preserve">
Display energy consumption data on Google Maps and extract it
Define your own regions and extract energy data from them
Find the areas with greatest adn least energy use. </t>
    </r>
  </si>
  <si>
    <t>I would like to able to explore energy use in my area using data which local rather than extrapolations from national statistics. Is there a way to do this?</t>
  </si>
  <si>
    <t>Yes, Energy Map, which is a free tool developed by the Converging World allows you to do just this and display the data graphically. See the Information sources tab for further details and the link to access it.</t>
  </si>
  <si>
    <t>Last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</si>
</sst>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00"/>
    <numFmt numFmtId="166" formatCode="#,##0.0"/>
  </numFmts>
  <fonts count="2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sz val="10"/>
      <color theme="1"/>
      <name val="Calibri"/>
      <family val="2"/>
      <scheme val="minor"/>
    </font>
    <font>
      <b/>
      <sz val="10"/>
      <color theme="1"/>
      <name val="Calibri"/>
      <family val="2"/>
      <scheme val="minor"/>
    </font>
    <font>
      <vertAlign val="subscript"/>
      <sz val="10"/>
      <color theme="1"/>
      <name val="Calibri"/>
      <family val="2"/>
      <scheme val="minor"/>
    </font>
    <font>
      <sz val="9"/>
      <color indexed="81"/>
      <name val="Calibri"/>
      <family val="2"/>
    </font>
    <font>
      <b/>
      <sz val="9"/>
      <color indexed="81"/>
      <name val="Calibri"/>
      <family val="2"/>
    </font>
    <font>
      <sz val="8"/>
      <color theme="1"/>
      <name val="Calibri"/>
      <family val="2"/>
      <scheme val="minor"/>
    </font>
    <font>
      <b/>
      <sz val="16"/>
      <color theme="1"/>
      <name val="Calibri"/>
      <family val="2"/>
      <scheme val="minor"/>
    </font>
    <font>
      <b/>
      <sz val="8"/>
      <color theme="1"/>
      <name val="Calibri"/>
      <family val="2"/>
      <scheme val="minor"/>
    </font>
    <font>
      <sz val="10"/>
      <color theme="0"/>
      <name val="Calibri"/>
      <family val="2"/>
      <scheme val="minor"/>
    </font>
    <font>
      <b/>
      <sz val="11"/>
      <color theme="1"/>
      <name val="Calibri"/>
      <family val="2"/>
      <scheme val="minor"/>
    </font>
    <font>
      <vertAlign val="superscript"/>
      <sz val="10"/>
      <color theme="1"/>
      <name val="Calibri"/>
      <family val="2"/>
      <scheme val="minor"/>
    </font>
    <font>
      <i/>
      <sz val="10"/>
      <color theme="1"/>
      <name val="Calibri"/>
      <family val="2"/>
      <scheme val="minor"/>
    </font>
    <font>
      <b/>
      <vertAlign val="superscript"/>
      <sz val="10"/>
      <color theme="1"/>
      <name val="Calibri"/>
      <family val="2"/>
      <scheme val="minor"/>
    </font>
    <font>
      <b/>
      <sz val="10"/>
      <color rgb="FF000000"/>
      <name val="Calibri"/>
      <family val="2"/>
      <scheme val="minor"/>
    </font>
    <font>
      <b/>
      <vertAlign val="subscript"/>
      <sz val="10"/>
      <color theme="1"/>
      <name val="Calibri"/>
      <family val="2"/>
      <scheme val="minor"/>
    </font>
    <font>
      <b/>
      <i/>
      <sz val="12"/>
      <color theme="1"/>
      <name val="Calibri"/>
      <family val="2"/>
      <scheme val="minor"/>
    </font>
    <font>
      <b/>
      <i/>
      <sz val="10"/>
      <color theme="1"/>
      <name val="Calibri"/>
      <family val="2"/>
      <scheme val="minor"/>
    </font>
    <font>
      <b/>
      <vertAlign val="subscript"/>
      <sz val="16"/>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216BBB"/>
        <bgColor indexed="64"/>
      </patternFill>
    </fill>
    <fill>
      <patternFill patternType="solid">
        <fgColor rgb="FF66FF66"/>
        <bgColor indexed="64"/>
      </patternFill>
    </fill>
    <fill>
      <patternFill patternType="solid">
        <fgColor theme="0"/>
        <bgColor indexed="64"/>
      </patternFill>
    </fill>
    <fill>
      <patternFill patternType="solid">
        <fgColor rgb="FF66CCFF"/>
        <bgColor indexed="64"/>
      </patternFill>
    </fill>
    <fill>
      <patternFill patternType="solid">
        <fgColor rgb="FF4CDA45"/>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2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cellStyleXfs>
  <cellXfs count="127">
    <xf numFmtId="0" fontId="0" fillId="0" borderId="0" xfId="0"/>
    <xf numFmtId="0" fontId="0" fillId="0" borderId="0" xfId="0" applyAlignment="1">
      <alignment wrapText="1"/>
    </xf>
    <xf numFmtId="0" fontId="1" fillId="0" borderId="0" xfId="0" applyFont="1"/>
    <xf numFmtId="0" fontId="4" fillId="0" borderId="0" xfId="0" applyFont="1"/>
    <xf numFmtId="0" fontId="4" fillId="0" borderId="0" xfId="0" applyFont="1" applyAlignment="1">
      <alignment wrapText="1"/>
    </xf>
    <xf numFmtId="1" fontId="4" fillId="0" borderId="0" xfId="0" applyNumberFormat="1" applyFont="1" applyAlignment="1">
      <alignment wrapText="1"/>
    </xf>
    <xf numFmtId="0" fontId="4" fillId="0" borderId="0" xfId="0" applyFont="1" applyAlignment="1">
      <alignment wrapText="1"/>
    </xf>
    <xf numFmtId="0" fontId="1" fillId="0" borderId="0" xfId="0" applyFont="1" applyAlignment="1">
      <alignment wrapText="1"/>
    </xf>
    <xf numFmtId="3" fontId="4" fillId="0" borderId="0" xfId="0" applyNumberFormat="1" applyFont="1"/>
    <xf numFmtId="3" fontId="4" fillId="0" borderId="0" xfId="0" applyNumberFormat="1" applyFont="1" applyAlignment="1">
      <alignment wrapText="1"/>
    </xf>
    <xf numFmtId="0" fontId="0" fillId="0" borderId="0" xfId="0" applyAlignment="1"/>
    <xf numFmtId="0" fontId="1" fillId="0" borderId="0" xfId="0" applyFont="1" applyAlignment="1"/>
    <xf numFmtId="0" fontId="5" fillId="0" borderId="0" xfId="0" applyFont="1" applyAlignment="1">
      <alignment wrapText="1"/>
    </xf>
    <xf numFmtId="0" fontId="5" fillId="0" borderId="0" xfId="0" applyFont="1"/>
    <xf numFmtId="0" fontId="5"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10" fillId="0" borderId="0" xfId="0" applyFont="1"/>
    <xf numFmtId="0" fontId="12" fillId="2" borderId="1" xfId="0" applyFont="1" applyFill="1" applyBorder="1" applyAlignment="1">
      <alignment vertical="center" wrapText="1"/>
    </xf>
    <xf numFmtId="3" fontId="12" fillId="2" borderId="1" xfId="0" applyNumberFormat="1" applyFont="1" applyFill="1" applyBorder="1" applyAlignment="1">
      <alignment vertical="center"/>
    </xf>
    <xf numFmtId="0" fontId="12" fillId="2" borderId="1" xfId="0" applyFont="1" applyFill="1" applyBorder="1" applyAlignment="1">
      <alignment vertical="center"/>
    </xf>
    <xf numFmtId="1" fontId="4" fillId="0" borderId="0" xfId="0" applyNumberFormat="1" applyFont="1"/>
    <xf numFmtId="0" fontId="10" fillId="0" borderId="0" xfId="0" applyFont="1" applyAlignment="1">
      <alignment horizontal="left" wrapText="1"/>
    </xf>
    <xf numFmtId="165" fontId="4" fillId="0" borderId="0" xfId="0" applyNumberFormat="1" applyFont="1" applyAlignment="1">
      <alignment wrapText="1"/>
    </xf>
    <xf numFmtId="0" fontId="1" fillId="0" borderId="0" xfId="0" applyFont="1" applyAlignment="1">
      <alignment horizontal="left" wrapText="1"/>
    </xf>
    <xf numFmtId="0" fontId="0" fillId="0" borderId="0" xfId="0" applyFont="1" applyAlignment="1">
      <alignment horizontal="left" wrapText="1"/>
    </xf>
    <xf numFmtId="0" fontId="5" fillId="0" borderId="0" xfId="0" applyFont="1" applyFill="1" applyBorder="1" applyAlignment="1">
      <alignment wrapText="1"/>
    </xf>
    <xf numFmtId="0" fontId="1" fillId="0" borderId="0" xfId="0" applyFont="1" applyFill="1" applyBorder="1" applyAlignment="1">
      <alignment wrapText="1"/>
    </xf>
    <xf numFmtId="0" fontId="4" fillId="0" borderId="0" xfId="0" applyFont="1" applyAlignment="1">
      <alignment vertical="center" wrapText="1"/>
    </xf>
    <xf numFmtId="0" fontId="1" fillId="0" borderId="0" xfId="0" applyFont="1" applyAlignment="1">
      <alignment horizontal="center"/>
    </xf>
    <xf numFmtId="0" fontId="4" fillId="0" borderId="0" xfId="0" applyFont="1" applyAlignment="1">
      <alignment horizontal="center" vertical="center" wrapText="1"/>
    </xf>
    <xf numFmtId="0" fontId="1" fillId="0" borderId="0" xfId="0" applyFont="1" applyAlignment="1">
      <alignment horizontal="left" wrapText="1"/>
    </xf>
    <xf numFmtId="0" fontId="1" fillId="0" borderId="0" xfId="0" applyFont="1" applyAlignment="1">
      <alignment horizontal="center"/>
    </xf>
    <xf numFmtId="0" fontId="5" fillId="0" borderId="0" xfId="0" applyFont="1" applyAlignment="1">
      <alignment wrapText="1"/>
    </xf>
    <xf numFmtId="0" fontId="4" fillId="0" borderId="0" xfId="0" applyFont="1" applyAlignment="1">
      <alignment wrapText="1"/>
    </xf>
    <xf numFmtId="0" fontId="1" fillId="0" borderId="0" xfId="0" applyFont="1" applyAlignment="1">
      <alignment wrapText="1"/>
    </xf>
    <xf numFmtId="0" fontId="5" fillId="0" borderId="0" xfId="0" applyFont="1" applyAlignment="1">
      <alignment wrapText="1"/>
    </xf>
    <xf numFmtId="0" fontId="4" fillId="0" borderId="0" xfId="0" applyFont="1" applyAlignment="1">
      <alignment wrapText="1"/>
    </xf>
    <xf numFmtId="0" fontId="0" fillId="3" borderId="0" xfId="0" applyFill="1"/>
    <xf numFmtId="0" fontId="0" fillId="3" borderId="1" xfId="0" applyFill="1" applyBorder="1"/>
    <xf numFmtId="0" fontId="4" fillId="3" borderId="1" xfId="0" applyFont="1" applyFill="1" applyBorder="1"/>
    <xf numFmtId="0" fontId="4" fillId="3" borderId="1" xfId="0" applyFont="1" applyFill="1" applyBorder="1" applyAlignment="1">
      <alignment wrapText="1"/>
    </xf>
    <xf numFmtId="0" fontId="0" fillId="4" borderId="1" xfId="0" applyFill="1" applyBorder="1"/>
    <xf numFmtId="0" fontId="0" fillId="4" borderId="1" xfId="0" applyFill="1" applyBorder="1" applyAlignment="1">
      <alignment wrapText="1"/>
    </xf>
    <xf numFmtId="0" fontId="1" fillId="0" borderId="1" xfId="0" applyFont="1" applyBorder="1" applyAlignment="1">
      <alignment horizontal="right"/>
    </xf>
    <xf numFmtId="0" fontId="1" fillId="3" borderId="1" xfId="0" applyFont="1" applyFill="1" applyBorder="1" applyAlignment="1">
      <alignment wrapText="1"/>
    </xf>
    <xf numFmtId="0" fontId="1" fillId="0" borderId="1" xfId="0" applyFont="1" applyBorder="1" applyAlignment="1">
      <alignment horizontal="right" wrapText="1"/>
    </xf>
    <xf numFmtId="0" fontId="0" fillId="0" borderId="1" xfId="0" applyBorder="1"/>
    <xf numFmtId="3" fontId="4" fillId="0" borderId="1" xfId="0" applyNumberFormat="1" applyFont="1" applyBorder="1"/>
    <xf numFmtId="3" fontId="4" fillId="3" borderId="1" xfId="0" applyNumberFormat="1" applyFont="1" applyFill="1" applyBorder="1"/>
    <xf numFmtId="1" fontId="4" fillId="0" borderId="1" xfId="0" applyNumberFormat="1" applyFont="1" applyBorder="1"/>
    <xf numFmtId="1" fontId="4" fillId="3" borderId="1" xfId="0" applyNumberFormat="1" applyFont="1" applyFill="1" applyBorder="1"/>
    <xf numFmtId="0" fontId="1" fillId="0" borderId="1" xfId="0" applyFont="1" applyBorder="1" applyAlignment="1">
      <alignment horizontal="left" wrapText="1"/>
    </xf>
    <xf numFmtId="0" fontId="0" fillId="3" borderId="0" xfId="0" applyFill="1" applyAlignment="1">
      <alignment horizontal="left" wrapText="1"/>
    </xf>
    <xf numFmtId="0" fontId="1" fillId="3" borderId="1" xfId="0" applyFont="1" applyFill="1" applyBorder="1" applyAlignment="1">
      <alignment horizontal="right" wrapText="1"/>
    </xf>
    <xf numFmtId="0" fontId="17" fillId="0" borderId="0" xfId="0" applyFont="1" applyAlignment="1">
      <alignment wrapText="1"/>
    </xf>
    <xf numFmtId="166" fontId="4" fillId="0" borderId="0" xfId="0" applyNumberFormat="1" applyFont="1"/>
    <xf numFmtId="166" fontId="4" fillId="0" borderId="0" xfId="0" applyNumberFormat="1" applyFont="1" applyAlignment="1">
      <alignment wrapText="1"/>
    </xf>
    <xf numFmtId="2" fontId="4" fillId="0" borderId="0" xfId="0" applyNumberFormat="1" applyFont="1"/>
    <xf numFmtId="0" fontId="5" fillId="0" borderId="0" xfId="0" applyFont="1" applyAlignment="1">
      <alignment horizontal="left"/>
    </xf>
    <xf numFmtId="2" fontId="4" fillId="3" borderId="1" xfId="0" applyNumberFormat="1" applyFont="1" applyFill="1" applyBorder="1"/>
    <xf numFmtId="166" fontId="4" fillId="3" borderId="1" xfId="0" applyNumberFormat="1" applyFont="1" applyFill="1" applyBorder="1"/>
    <xf numFmtId="166" fontId="4" fillId="0" borderId="0" xfId="0" applyNumberFormat="1" applyFont="1" applyAlignment="1">
      <alignment vertical="center" wrapText="1"/>
    </xf>
    <xf numFmtId="164" fontId="4" fillId="0" borderId="0" xfId="0" applyNumberFormat="1" applyFont="1"/>
    <xf numFmtId="166" fontId="4" fillId="3" borderId="1" xfId="0" applyNumberFormat="1" applyFont="1" applyFill="1" applyBorder="1" applyAlignment="1">
      <alignment vertical="center" wrapText="1"/>
    </xf>
    <xf numFmtId="1" fontId="4" fillId="3" borderId="1" xfId="0" applyNumberFormat="1" applyFont="1" applyFill="1" applyBorder="1" applyAlignment="1">
      <alignment wrapText="1"/>
    </xf>
    <xf numFmtId="3" fontId="5" fillId="0" borderId="0" xfId="0" applyNumberFormat="1" applyFont="1"/>
    <xf numFmtId="1" fontId="4" fillId="5" borderId="0" xfId="0" applyNumberFormat="1" applyFont="1" applyFill="1"/>
    <xf numFmtId="0" fontId="0" fillId="5" borderId="0" xfId="0" applyFill="1"/>
    <xf numFmtId="3" fontId="4" fillId="5" borderId="0" xfId="0" applyNumberFormat="1" applyFont="1" applyFill="1"/>
    <xf numFmtId="0" fontId="4" fillId="5" borderId="1" xfId="0" applyFont="1" applyFill="1" applyBorder="1" applyAlignment="1">
      <alignment wrapText="1"/>
    </xf>
    <xf numFmtId="0" fontId="4" fillId="5" borderId="1" xfId="0" applyFont="1" applyFill="1" applyBorder="1"/>
    <xf numFmtId="3" fontId="4" fillId="0" borderId="0" xfId="0" applyNumberFormat="1" applyFont="1" applyBorder="1"/>
    <xf numFmtId="0" fontId="10" fillId="0" borderId="0" xfId="0" applyFont="1" applyAlignment="1">
      <alignment wrapText="1"/>
    </xf>
    <xf numFmtId="1" fontId="5" fillId="0" borderId="0" xfId="0" applyNumberFormat="1" applyFont="1"/>
    <xf numFmtId="0" fontId="1" fillId="6" borderId="1" xfId="0" applyFont="1" applyFill="1" applyBorder="1" applyAlignment="1">
      <alignment horizontal="right" wrapText="1"/>
    </xf>
    <xf numFmtId="0" fontId="0" fillId="6" borderId="0" xfId="0" applyFill="1"/>
    <xf numFmtId="3" fontId="4" fillId="6" borderId="0" xfId="0" applyNumberFormat="1" applyFont="1" applyFill="1"/>
    <xf numFmtId="0" fontId="4" fillId="0" borderId="0" xfId="0" applyFont="1" applyAlignment="1">
      <alignment horizontal="right"/>
    </xf>
    <xf numFmtId="166" fontId="4" fillId="0" borderId="1" xfId="0" applyNumberFormat="1" applyFont="1" applyBorder="1"/>
    <xf numFmtId="3" fontId="4" fillId="0" borderId="0" xfId="0" applyNumberFormat="1" applyFont="1" applyFill="1"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0" xfId="0" applyBorder="1"/>
    <xf numFmtId="0" fontId="0" fillId="0" borderId="8" xfId="0" applyBorder="1"/>
    <xf numFmtId="0" fontId="1" fillId="0" borderId="7" xfId="0" applyFont="1" applyBorder="1" applyAlignment="1">
      <alignment wrapText="1"/>
    </xf>
    <xf numFmtId="0" fontId="1" fillId="0" borderId="0" xfId="0" applyFont="1" applyBorder="1" applyAlignment="1">
      <alignment wrapText="1"/>
    </xf>
    <xf numFmtId="0" fontId="1" fillId="0" borderId="8" xfId="0" applyFont="1" applyBorder="1" applyAlignment="1">
      <alignment wrapText="1"/>
    </xf>
    <xf numFmtId="0" fontId="0" fillId="0" borderId="0" xfId="0" applyAlignment="1">
      <alignment wrapText="1"/>
    </xf>
    <xf numFmtId="0" fontId="4" fillId="0" borderId="0" xfId="0" applyFont="1" applyAlignment="1">
      <alignment wrapText="1"/>
    </xf>
    <xf numFmtId="0" fontId="23" fillId="0" borderId="0" xfId="0" applyFont="1" applyAlignment="1">
      <alignment wrapText="1"/>
    </xf>
    <xf numFmtId="0" fontId="23" fillId="0" borderId="0" xfId="0" applyFont="1"/>
    <xf numFmtId="0" fontId="22" fillId="0" borderId="0" xfId="0" applyFont="1" applyAlignment="1">
      <alignment wrapText="1"/>
    </xf>
    <xf numFmtId="0" fontId="22" fillId="0" borderId="0" xfId="0" applyFont="1"/>
    <xf numFmtId="0" fontId="24" fillId="0" borderId="0" xfId="0" applyFont="1"/>
    <xf numFmtId="0" fontId="23" fillId="0" borderId="0" xfId="0" applyFont="1" applyAlignment="1">
      <alignment wrapText="1"/>
    </xf>
    <xf numFmtId="0" fontId="24" fillId="0" borderId="0" xfId="0" applyFont="1" applyAlignment="1">
      <alignment horizontal="center"/>
    </xf>
    <xf numFmtId="3" fontId="5" fillId="0" borderId="0" xfId="0" applyNumberFormat="1" applyFont="1" applyAlignment="1">
      <alignment horizontal="right"/>
    </xf>
    <xf numFmtId="0" fontId="24" fillId="0" borderId="0" xfId="0" applyFont="1" applyAlignment="1">
      <alignment wrapText="1"/>
    </xf>
    <xf numFmtId="0" fontId="4" fillId="0" borderId="0" xfId="0" applyFont="1" applyAlignment="1">
      <alignment wrapText="1"/>
    </xf>
    <xf numFmtId="0" fontId="4" fillId="0" borderId="0" xfId="0" applyFont="1" applyAlignment="1">
      <alignment wrapText="1"/>
    </xf>
    <xf numFmtId="14" fontId="4" fillId="0" borderId="0" xfId="0" applyNumberFormat="1" applyFont="1"/>
    <xf numFmtId="0" fontId="4" fillId="0" borderId="0" xfId="0" applyFont="1" applyAlignment="1">
      <alignment wrapText="1"/>
    </xf>
    <xf numFmtId="0" fontId="23" fillId="0" borderId="0" xfId="0" applyFont="1" applyAlignment="1">
      <alignment wrapText="1"/>
    </xf>
    <xf numFmtId="0" fontId="23" fillId="0" borderId="0" xfId="0" applyFont="1"/>
    <xf numFmtId="0" fontId="23" fillId="0" borderId="0" xfId="0" applyFont="1" applyAlignment="1">
      <alignment horizontal="left" wrapText="1"/>
    </xf>
    <xf numFmtId="0" fontId="10" fillId="0" borderId="0" xfId="0" applyFont="1" applyAlignment="1">
      <alignment horizontal="left" wrapText="1"/>
    </xf>
    <xf numFmtId="0" fontId="1" fillId="0" borderId="0" xfId="0" applyFont="1" applyAlignment="1">
      <alignment horizontal="left" wrapText="1"/>
    </xf>
    <xf numFmtId="0" fontId="4" fillId="0" borderId="0" xfId="0" applyFont="1" applyAlignment="1">
      <alignment horizontal="center" vertical="center" wrapText="1"/>
    </xf>
    <xf numFmtId="166" fontId="4" fillId="0" borderId="0" xfId="0" applyNumberFormat="1" applyFont="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left" wrapText="1"/>
    </xf>
    <xf numFmtId="0" fontId="4" fillId="3" borderId="2" xfId="0" applyFont="1" applyFill="1" applyBorder="1" applyAlignment="1">
      <alignment horizontal="left" wrapText="1"/>
    </xf>
    <xf numFmtId="0" fontId="4" fillId="3" borderId="3" xfId="0" applyFont="1" applyFill="1"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6" xfId="0" applyBorder="1" applyAlignment="1">
      <alignment horizontal="left" wrapText="1"/>
    </xf>
    <xf numFmtId="0" fontId="5" fillId="0" borderId="0" xfId="0" applyFont="1" applyAlignment="1">
      <alignment wrapText="1"/>
    </xf>
    <xf numFmtId="0" fontId="1" fillId="0" borderId="0" xfId="0" applyFont="1" applyAlignment="1"/>
    <xf numFmtId="0" fontId="0" fillId="0" borderId="0" xfId="0" applyAlignment="1"/>
    <xf numFmtId="0" fontId="0" fillId="0" borderId="0" xfId="0" applyAlignment="1">
      <alignment wrapText="1"/>
    </xf>
    <xf numFmtId="0" fontId="1" fillId="0" borderId="0" xfId="0" applyFont="1" applyAlignment="1">
      <alignment wrapText="1"/>
    </xf>
    <xf numFmtId="0" fontId="4" fillId="0" borderId="0" xfId="0" applyFont="1" applyAlignment="1">
      <alignment horizontal="left" vertical="center" wrapText="1"/>
    </xf>
    <xf numFmtId="0" fontId="4" fillId="0" borderId="0" xfId="0" applyFont="1" applyAlignment="1">
      <alignment horizontal="left" wrapText="1"/>
    </xf>
    <xf numFmtId="0" fontId="4" fillId="0" borderId="0" xfId="0" applyFont="1" applyAlignment="1">
      <alignment horizontal="left" vertical="top" wrapText="1"/>
    </xf>
  </cellXfs>
  <cellStyles count="12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here'!$G$12</c:f>
              <c:strCache>
                <c:ptCount val="1"/>
                <c:pt idx="0">
                  <c:v>Heat and power (before energy efficiency measures)</c:v>
                </c:pt>
              </c:strCache>
            </c:strRef>
          </c:tx>
          <c:invertIfNegative val="0"/>
          <c:cat>
            <c:strRef>
              <c:f>'Start here'!$A$15:$A$16</c:f>
              <c:strCache>
                <c:ptCount val="2"/>
                <c:pt idx="0">
                  <c:v>Per household (kWh/yr)</c:v>
                </c:pt>
                <c:pt idx="1">
                  <c:v>Per person (kWh/yr)</c:v>
                </c:pt>
              </c:strCache>
            </c:strRef>
          </c:cat>
          <c:val>
            <c:numRef>
              <c:f>'Start here'!$G$15:$G$16</c:f>
              <c:numCache>
                <c:formatCode>#,##0</c:formatCode>
                <c:ptCount val="2"/>
                <c:pt idx="0">
                  <c:v>14445.890999999998</c:v>
                </c:pt>
                <c:pt idx="1">
                  <c:v>6280.8221739130431</c:v>
                </c:pt>
              </c:numCache>
            </c:numRef>
          </c:val>
          <c:extLst>
            <c:ext xmlns:c16="http://schemas.microsoft.com/office/drawing/2014/chart" uri="{C3380CC4-5D6E-409C-BE32-E72D297353CC}">
              <c16:uniqueId val="{00000000-5119-47B1-83CD-4FAAC16F9C9A}"/>
            </c:ext>
          </c:extLst>
        </c:ser>
        <c:ser>
          <c:idx val="1"/>
          <c:order val="1"/>
          <c:tx>
            <c:strRef>
              <c:f>'Start here'!$H$12</c:f>
              <c:strCache>
                <c:ptCount val="1"/>
                <c:pt idx="0">
                  <c:v>Heat and power with energy efficiency measures)</c:v>
                </c:pt>
              </c:strCache>
            </c:strRef>
          </c:tx>
          <c:invertIfNegative val="0"/>
          <c:val>
            <c:numRef>
              <c:f>'Start here'!$H$15:$H$16</c:f>
              <c:numCache>
                <c:formatCode>#,##0</c:formatCode>
                <c:ptCount val="2"/>
                <c:pt idx="0">
                  <c:v>11054.861424000001</c:v>
                </c:pt>
                <c:pt idx="1">
                  <c:v>4806.4614886956533</c:v>
                </c:pt>
              </c:numCache>
            </c:numRef>
          </c:val>
          <c:extLst>
            <c:ext xmlns:c16="http://schemas.microsoft.com/office/drawing/2014/chart" uri="{C3380CC4-5D6E-409C-BE32-E72D297353CC}">
              <c16:uniqueId val="{00000001-5119-47B1-83CD-4FAAC16F9C9A}"/>
            </c:ext>
          </c:extLst>
        </c:ser>
        <c:dLbls>
          <c:showLegendKey val="0"/>
          <c:showVal val="0"/>
          <c:showCatName val="0"/>
          <c:showSerName val="0"/>
          <c:showPercent val="0"/>
          <c:showBubbleSize val="0"/>
        </c:dLbls>
        <c:gapWidth val="150"/>
        <c:axId val="-2119483880"/>
        <c:axId val="-2119480904"/>
      </c:barChart>
      <c:catAx>
        <c:axId val="-2119483880"/>
        <c:scaling>
          <c:orientation val="minMax"/>
        </c:scaling>
        <c:delete val="0"/>
        <c:axPos val="b"/>
        <c:numFmt formatCode="General" sourceLinked="0"/>
        <c:majorTickMark val="out"/>
        <c:minorTickMark val="none"/>
        <c:tickLblPos val="nextTo"/>
        <c:crossAx val="-2119480904"/>
        <c:crosses val="autoZero"/>
        <c:auto val="1"/>
        <c:lblAlgn val="ctr"/>
        <c:lblOffset val="100"/>
        <c:noMultiLvlLbl val="0"/>
      </c:catAx>
      <c:valAx>
        <c:axId val="-2119480904"/>
        <c:scaling>
          <c:orientation val="minMax"/>
        </c:scaling>
        <c:delete val="0"/>
        <c:axPos val="l"/>
        <c:majorGridlines/>
        <c:numFmt formatCode="#,##0" sourceLinked="1"/>
        <c:majorTickMark val="out"/>
        <c:minorTickMark val="none"/>
        <c:tickLblPos val="nextTo"/>
        <c:crossAx val="-2119483880"/>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pieChart>
        <c:varyColors val="1"/>
        <c:ser>
          <c:idx val="0"/>
          <c:order val="0"/>
          <c:tx>
            <c:strRef>
              <c:f>'Start here'!$A$23</c:f>
              <c:strCache>
                <c:ptCount val="1"/>
                <c:pt idx="0">
                  <c:v>Estimated annual CO2 emissions (kg/yr)</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('Start here'!$D$12,'Start here'!$F$12,'Start here'!$I$12)</c:f>
              <c:strCache>
                <c:ptCount val="3"/>
                <c:pt idx="0">
                  <c:v>Heating (with energy efficiency)</c:v>
                </c:pt>
                <c:pt idx="1">
                  <c:v>Power (with energy efficiency measures)</c:v>
                </c:pt>
                <c:pt idx="2">
                  <c:v>Transport (private cars)</c:v>
                </c:pt>
              </c:strCache>
            </c:strRef>
          </c:cat>
          <c:val>
            <c:numRef>
              <c:f>('Start here'!$D$24,'Start here'!$F$24,'Start here'!$I$24)</c:f>
              <c:numCache>
                <c:formatCode>#,##0</c:formatCode>
                <c:ptCount val="3"/>
                <c:pt idx="0">
                  <c:v>14385428.930128694</c:v>
                </c:pt>
                <c:pt idx="1">
                  <c:v>7588048.4912473047</c:v>
                </c:pt>
                <c:pt idx="2">
                  <c:v>22974174.539156467</c:v>
                </c:pt>
              </c:numCache>
            </c:numRef>
          </c:val>
          <c:extLst>
            <c:ext xmlns:c16="http://schemas.microsoft.com/office/drawing/2014/chart" uri="{C3380CC4-5D6E-409C-BE32-E72D297353CC}">
              <c16:uniqueId val="{00000000-6D93-4170-9B4C-D3B72CD9B934}"/>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here'!$C$12</c:f>
              <c:strCache>
                <c:ptCount val="1"/>
                <c:pt idx="0">
                  <c:v>Heating (before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here'!$C$30:$C$31</c:f>
              <c:numCache>
                <c:formatCode>#,##0.0</c:formatCode>
                <c:ptCount val="2"/>
                <c:pt idx="0" formatCode="#,##0">
                  <c:v>5.9595962641478435</c:v>
                </c:pt>
                <c:pt idx="1">
                  <c:v>2.5911288104990624</c:v>
                </c:pt>
              </c:numCache>
            </c:numRef>
          </c:val>
          <c:extLst>
            <c:ext xmlns:c16="http://schemas.microsoft.com/office/drawing/2014/chart" uri="{C3380CC4-5D6E-409C-BE32-E72D297353CC}">
              <c16:uniqueId val="{00000000-1B88-468F-B404-CB4649A8DBE4}"/>
            </c:ext>
          </c:extLst>
        </c:ser>
        <c:ser>
          <c:idx val="1"/>
          <c:order val="1"/>
          <c:tx>
            <c:strRef>
              <c:f>'Start here'!$E$12</c:f>
              <c:strCache>
                <c:ptCount val="1"/>
                <c:pt idx="0">
                  <c:v>Power: electricity (before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here'!$E$30:$E$31</c:f>
              <c:numCache>
                <c:formatCode>#,##0.0</c:formatCode>
                <c:ptCount val="2"/>
                <c:pt idx="0" formatCode="#,##0">
                  <c:v>3.0473451804517455</c:v>
                </c:pt>
                <c:pt idx="1">
                  <c:v>1.3249326871529328</c:v>
                </c:pt>
              </c:numCache>
            </c:numRef>
          </c:val>
          <c:extLst>
            <c:ext xmlns:c16="http://schemas.microsoft.com/office/drawing/2014/chart" uri="{C3380CC4-5D6E-409C-BE32-E72D297353CC}">
              <c16:uniqueId val="{00000001-1B88-468F-B404-CB4649A8DBE4}"/>
            </c:ext>
          </c:extLst>
        </c:ser>
        <c:ser>
          <c:idx val="2"/>
          <c:order val="2"/>
          <c:tx>
            <c:strRef>
              <c:f>'Start here'!$I$12</c:f>
              <c:strCache>
                <c:ptCount val="1"/>
                <c:pt idx="0">
                  <c:v>Transport (private cars)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here'!$I$30:$I$31</c:f>
              <c:numCache>
                <c:formatCode>#,##0.0</c:formatCode>
                <c:ptCount val="2"/>
                <c:pt idx="0" formatCode="#,##0">
                  <c:v>7.2334841122600784</c:v>
                </c:pt>
                <c:pt idx="1">
                  <c:v>3.1449930922869904</c:v>
                </c:pt>
              </c:numCache>
            </c:numRef>
          </c:val>
          <c:extLst>
            <c:ext xmlns:c16="http://schemas.microsoft.com/office/drawing/2014/chart" uri="{C3380CC4-5D6E-409C-BE32-E72D297353CC}">
              <c16:uniqueId val="{00000002-1B88-468F-B404-CB4649A8DBE4}"/>
            </c:ext>
          </c:extLst>
        </c:ser>
        <c:dLbls>
          <c:showLegendKey val="0"/>
          <c:showVal val="0"/>
          <c:showCatName val="0"/>
          <c:showSerName val="0"/>
          <c:showPercent val="0"/>
          <c:showBubbleSize val="0"/>
        </c:dLbls>
        <c:gapWidth val="150"/>
        <c:axId val="-2119942376"/>
        <c:axId val="-2119945448"/>
      </c:barChart>
      <c:catAx>
        <c:axId val="-2119942376"/>
        <c:scaling>
          <c:orientation val="minMax"/>
        </c:scaling>
        <c:delete val="0"/>
        <c:axPos val="b"/>
        <c:numFmt formatCode="General" sourceLinked="0"/>
        <c:majorTickMark val="out"/>
        <c:minorTickMark val="none"/>
        <c:tickLblPos val="nextTo"/>
        <c:crossAx val="-2119945448"/>
        <c:crosses val="autoZero"/>
        <c:auto val="1"/>
        <c:lblAlgn val="ctr"/>
        <c:lblOffset val="100"/>
        <c:noMultiLvlLbl val="0"/>
      </c:catAx>
      <c:valAx>
        <c:axId val="-2119945448"/>
        <c:scaling>
          <c:orientation val="minMax"/>
        </c:scaling>
        <c:delete val="0"/>
        <c:axPos val="l"/>
        <c:majorGridlines/>
        <c:numFmt formatCode="#,##0" sourceLinked="1"/>
        <c:majorTickMark val="out"/>
        <c:minorTickMark val="none"/>
        <c:tickLblPos val="nextTo"/>
        <c:crossAx val="-2119942376"/>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here'!$D$12</c:f>
              <c:strCache>
                <c:ptCount val="1"/>
                <c:pt idx="0">
                  <c:v>Heating (with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here'!$D$30:$D$31</c:f>
              <c:numCache>
                <c:formatCode>#,##0.0</c:formatCode>
                <c:ptCount val="2"/>
                <c:pt idx="0" formatCode="#,##0">
                  <c:v>4.5292931607523608</c:v>
                </c:pt>
                <c:pt idx="1">
                  <c:v>1.9692578959792872</c:v>
                </c:pt>
              </c:numCache>
            </c:numRef>
          </c:val>
          <c:extLst>
            <c:ext xmlns:c16="http://schemas.microsoft.com/office/drawing/2014/chart" uri="{C3380CC4-5D6E-409C-BE32-E72D297353CC}">
              <c16:uniqueId val="{00000000-D19A-4FCD-ABD6-B4318854103E}"/>
            </c:ext>
          </c:extLst>
        </c:ser>
        <c:ser>
          <c:idx val="1"/>
          <c:order val="1"/>
          <c:tx>
            <c:strRef>
              <c:f>'Start here'!$F$12</c:f>
              <c:strCache>
                <c:ptCount val="1"/>
                <c:pt idx="0">
                  <c:v>Power (with energy efficiency measures)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here'!$F$30:$F$31</c:f>
              <c:numCache>
                <c:formatCode>#,##0.0</c:formatCode>
                <c:ptCount val="2"/>
                <c:pt idx="0" formatCode="#,##0">
                  <c:v>2.3891186214741684</c:v>
                </c:pt>
                <c:pt idx="1">
                  <c:v>1.0387472267278994</c:v>
                </c:pt>
              </c:numCache>
            </c:numRef>
          </c:val>
          <c:extLst>
            <c:ext xmlns:c16="http://schemas.microsoft.com/office/drawing/2014/chart" uri="{C3380CC4-5D6E-409C-BE32-E72D297353CC}">
              <c16:uniqueId val="{00000001-D19A-4FCD-ABD6-B4318854103E}"/>
            </c:ext>
          </c:extLst>
        </c:ser>
        <c:ser>
          <c:idx val="2"/>
          <c:order val="2"/>
          <c:tx>
            <c:strRef>
              <c:f>'Start here'!$I$12</c:f>
              <c:strCache>
                <c:ptCount val="1"/>
                <c:pt idx="0">
                  <c:v>Transport (private cars)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here'!$A$30:$A$31</c:f>
              <c:strCache>
                <c:ptCount val="2"/>
                <c:pt idx="0">
                  <c:v>Per household (kg CO2 per day)</c:v>
                </c:pt>
                <c:pt idx="1">
                  <c:v>Per person (kg CO2 per day)</c:v>
                </c:pt>
              </c:strCache>
            </c:strRef>
          </c:cat>
          <c:val>
            <c:numRef>
              <c:f>'Start here'!$I$30:$I$31</c:f>
              <c:numCache>
                <c:formatCode>#,##0.0</c:formatCode>
                <c:ptCount val="2"/>
                <c:pt idx="0" formatCode="#,##0">
                  <c:v>7.2334841122600784</c:v>
                </c:pt>
                <c:pt idx="1">
                  <c:v>3.1449930922869904</c:v>
                </c:pt>
              </c:numCache>
            </c:numRef>
          </c:val>
          <c:extLst>
            <c:ext xmlns:c16="http://schemas.microsoft.com/office/drawing/2014/chart" uri="{C3380CC4-5D6E-409C-BE32-E72D297353CC}">
              <c16:uniqueId val="{00000002-D19A-4FCD-ABD6-B4318854103E}"/>
            </c:ext>
          </c:extLst>
        </c:ser>
        <c:dLbls>
          <c:showLegendKey val="0"/>
          <c:showVal val="0"/>
          <c:showCatName val="0"/>
          <c:showSerName val="0"/>
          <c:showPercent val="0"/>
          <c:showBubbleSize val="0"/>
        </c:dLbls>
        <c:gapWidth val="150"/>
        <c:axId val="-2119983896"/>
        <c:axId val="-2119986968"/>
      </c:barChart>
      <c:catAx>
        <c:axId val="-2119983896"/>
        <c:scaling>
          <c:orientation val="minMax"/>
        </c:scaling>
        <c:delete val="0"/>
        <c:axPos val="b"/>
        <c:numFmt formatCode="General" sourceLinked="0"/>
        <c:majorTickMark val="out"/>
        <c:minorTickMark val="none"/>
        <c:tickLblPos val="nextTo"/>
        <c:crossAx val="-2119986968"/>
        <c:crosses val="autoZero"/>
        <c:auto val="1"/>
        <c:lblAlgn val="ctr"/>
        <c:lblOffset val="100"/>
        <c:noMultiLvlLbl val="0"/>
      </c:catAx>
      <c:valAx>
        <c:axId val="-2119986968"/>
        <c:scaling>
          <c:orientation val="minMax"/>
        </c:scaling>
        <c:delete val="0"/>
        <c:axPos val="l"/>
        <c:majorGridlines/>
        <c:numFmt formatCode="#,##0" sourceLinked="1"/>
        <c:majorTickMark val="out"/>
        <c:minorTickMark val="none"/>
        <c:tickLblPos val="nextTo"/>
        <c:crossAx val="-2119983896"/>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here'!$J$12</c:f>
              <c:strCache>
                <c:ptCount val="1"/>
                <c:pt idx="0">
                  <c:v>Heat, power and car use before energy efficiency measures</c:v>
                </c:pt>
              </c:strCache>
            </c:strRef>
          </c:tx>
          <c:invertIfNegative val="0"/>
          <c:cat>
            <c:strRef>
              <c:f>'Start here'!$A$15:$A$16</c:f>
              <c:strCache>
                <c:ptCount val="2"/>
                <c:pt idx="0">
                  <c:v>Per household (kWh/yr)</c:v>
                </c:pt>
                <c:pt idx="1">
                  <c:v>Per person (kWh/yr)</c:v>
                </c:pt>
              </c:strCache>
            </c:strRef>
          </c:cat>
          <c:val>
            <c:numRef>
              <c:f>'Start here'!$J$15:$K$15</c:f>
              <c:numCache>
                <c:formatCode>#,##0</c:formatCode>
                <c:ptCount val="2"/>
                <c:pt idx="0">
                  <c:v>25477.90724172819</c:v>
                </c:pt>
                <c:pt idx="1">
                  <c:v>22086.877665728192</c:v>
                </c:pt>
              </c:numCache>
            </c:numRef>
          </c:val>
          <c:extLst>
            <c:ext xmlns:c16="http://schemas.microsoft.com/office/drawing/2014/chart" uri="{C3380CC4-5D6E-409C-BE32-E72D297353CC}">
              <c16:uniqueId val="{00000000-B837-4EE9-9B5D-74C219BEF831}"/>
            </c:ext>
          </c:extLst>
        </c:ser>
        <c:ser>
          <c:idx val="1"/>
          <c:order val="1"/>
          <c:tx>
            <c:strRef>
              <c:f>'Start here'!$K$12</c:f>
              <c:strCache>
                <c:ptCount val="1"/>
                <c:pt idx="0">
                  <c:v>Heat, power and car use after energy efficiency measures</c:v>
                </c:pt>
              </c:strCache>
            </c:strRef>
          </c:tx>
          <c:invertIfNegative val="0"/>
          <c:cat>
            <c:strRef>
              <c:f>'Start here'!$A$15:$A$16</c:f>
              <c:strCache>
                <c:ptCount val="2"/>
                <c:pt idx="0">
                  <c:v>Per household (kWh/yr)</c:v>
                </c:pt>
                <c:pt idx="1">
                  <c:v>Per person (kWh/yr)</c:v>
                </c:pt>
              </c:strCache>
            </c:strRef>
          </c:cat>
          <c:val>
            <c:numRef>
              <c:f>'Start here'!$J$16:$K$16</c:f>
              <c:numCache>
                <c:formatCode>#,##0</c:formatCode>
                <c:ptCount val="2"/>
                <c:pt idx="0">
                  <c:v>11077.35097466443</c:v>
                </c:pt>
                <c:pt idx="1">
                  <c:v>9602.9902894470415</c:v>
                </c:pt>
              </c:numCache>
            </c:numRef>
          </c:val>
          <c:extLst>
            <c:ext xmlns:c16="http://schemas.microsoft.com/office/drawing/2014/chart" uri="{C3380CC4-5D6E-409C-BE32-E72D297353CC}">
              <c16:uniqueId val="{00000001-B837-4EE9-9B5D-74C219BEF831}"/>
            </c:ext>
          </c:extLst>
        </c:ser>
        <c:dLbls>
          <c:showLegendKey val="0"/>
          <c:showVal val="0"/>
          <c:showCatName val="0"/>
          <c:showSerName val="0"/>
          <c:showPercent val="0"/>
          <c:showBubbleSize val="0"/>
        </c:dLbls>
        <c:gapWidth val="150"/>
        <c:axId val="-2119432952"/>
        <c:axId val="-2119430008"/>
      </c:barChart>
      <c:catAx>
        <c:axId val="-2119432952"/>
        <c:scaling>
          <c:orientation val="minMax"/>
        </c:scaling>
        <c:delete val="0"/>
        <c:axPos val="b"/>
        <c:numFmt formatCode="General" sourceLinked="0"/>
        <c:majorTickMark val="out"/>
        <c:minorTickMark val="none"/>
        <c:tickLblPos val="nextTo"/>
        <c:crossAx val="-2119430008"/>
        <c:crosses val="autoZero"/>
        <c:auto val="1"/>
        <c:lblAlgn val="ctr"/>
        <c:lblOffset val="100"/>
        <c:noMultiLvlLbl val="0"/>
      </c:catAx>
      <c:valAx>
        <c:axId val="-2119430008"/>
        <c:scaling>
          <c:orientation val="minMax"/>
        </c:scaling>
        <c:delete val="0"/>
        <c:axPos val="l"/>
        <c:majorGridlines/>
        <c:numFmt formatCode="#,##0" sourceLinked="1"/>
        <c:majorTickMark val="out"/>
        <c:minorTickMark val="none"/>
        <c:tickLblPos val="nextTo"/>
        <c:crossAx val="-211943295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pieChart>
        <c:varyColors val="1"/>
        <c:ser>
          <c:idx val="0"/>
          <c:order val="0"/>
          <c:tx>
            <c:strRef>
              <c:f>'Start here'!$A$13</c:f>
              <c:strCache>
                <c:ptCount val="1"/>
                <c:pt idx="0">
                  <c:v>Estimated annual energy use (kWh/yr)</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('Start here'!$C$12,'Start here'!$E$12,'Start here'!$I$12)</c:f>
              <c:strCache>
                <c:ptCount val="3"/>
                <c:pt idx="0">
                  <c:v>Heating (before energy efficiency)</c:v>
                </c:pt>
                <c:pt idx="1">
                  <c:v>Power: electricity (before energy efficiency)</c:v>
                </c:pt>
                <c:pt idx="2">
                  <c:v>Transport (private cars)</c:v>
                </c:pt>
              </c:strCache>
            </c:strRef>
          </c:cat>
          <c:val>
            <c:numRef>
              <c:f>('Start here'!$C$14,'Start here'!$E$14,'Start here'!$I$14)</c:f>
              <c:numCache>
                <c:formatCode>#,##0</c:formatCode>
                <c:ptCount val="3"/>
                <c:pt idx="0">
                  <c:v>98085913.043478251</c:v>
                </c:pt>
                <c:pt idx="1">
                  <c:v>27530530.434782609</c:v>
                </c:pt>
                <c:pt idx="2">
                  <c:v>95930576.015027761</c:v>
                </c:pt>
              </c:numCache>
            </c:numRef>
          </c:val>
          <c:extLst>
            <c:ext xmlns:c16="http://schemas.microsoft.com/office/drawing/2014/chart" uri="{C3380CC4-5D6E-409C-BE32-E72D297353CC}">
              <c16:uniqueId val="{00000000-E776-41B4-AA08-FB545117E8DE}"/>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pieChart>
        <c:varyColors val="1"/>
        <c:ser>
          <c:idx val="0"/>
          <c:order val="0"/>
          <c:tx>
            <c:strRef>
              <c:f>'Start here'!$A$13</c:f>
              <c:strCache>
                <c:ptCount val="1"/>
                <c:pt idx="0">
                  <c:v>Estimated annual energy use (kWh/yr)</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('Start here'!$D$12,'Start here'!$F$12,'Start here'!$I$12)</c:f>
              <c:strCache>
                <c:ptCount val="3"/>
                <c:pt idx="0">
                  <c:v>Heating (with energy efficiency)</c:v>
                </c:pt>
                <c:pt idx="1">
                  <c:v>Power (with energy efficiency measures)</c:v>
                </c:pt>
                <c:pt idx="2">
                  <c:v>Transport (private cars)</c:v>
                </c:pt>
              </c:strCache>
            </c:strRef>
          </c:cat>
          <c:val>
            <c:numRef>
              <c:f>('Start here'!$D$14,'Start here'!$F$14,'Start here'!$I$14)</c:f>
              <c:numCache>
                <c:formatCode>#,##0</c:formatCode>
                <c:ptCount val="3"/>
                <c:pt idx="0">
                  <c:v>74545293.913043484</c:v>
                </c:pt>
                <c:pt idx="1">
                  <c:v>21583935.860869568</c:v>
                </c:pt>
                <c:pt idx="2">
                  <c:v>95930576.015027761</c:v>
                </c:pt>
              </c:numCache>
            </c:numRef>
          </c:val>
          <c:extLst>
            <c:ext xmlns:c16="http://schemas.microsoft.com/office/drawing/2014/chart" uri="{C3380CC4-5D6E-409C-BE32-E72D297353CC}">
              <c16:uniqueId val="{00000000-4188-45DB-9609-E04080AD7F23}"/>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here'!$C$12</c:f>
              <c:strCache>
                <c:ptCount val="1"/>
                <c:pt idx="0">
                  <c:v>Heating (before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here'!$A$20:$A$21</c:f>
              <c:strCache>
                <c:ptCount val="2"/>
                <c:pt idx="0">
                  <c:v>Per household (kWh/day)</c:v>
                </c:pt>
                <c:pt idx="1">
                  <c:v>Per person (kWh/day)</c:v>
                </c:pt>
              </c:strCache>
            </c:strRef>
          </c:cat>
          <c:val>
            <c:numRef>
              <c:f>'Start here'!$C$20:$C$21</c:f>
              <c:numCache>
                <c:formatCode>0</c:formatCode>
                <c:ptCount val="2"/>
                <c:pt idx="0">
                  <c:v>30.882628336755641</c:v>
                </c:pt>
                <c:pt idx="1">
                  <c:v>13.427229711632888</c:v>
                </c:pt>
              </c:numCache>
            </c:numRef>
          </c:val>
          <c:extLst>
            <c:ext xmlns:c16="http://schemas.microsoft.com/office/drawing/2014/chart" uri="{C3380CC4-5D6E-409C-BE32-E72D297353CC}">
              <c16:uniqueId val="{00000000-9FF8-47E9-B667-70FAFB96B001}"/>
            </c:ext>
          </c:extLst>
        </c:ser>
        <c:ser>
          <c:idx val="1"/>
          <c:order val="1"/>
          <c:tx>
            <c:strRef>
              <c:f>'Start here'!$E$12</c:f>
              <c:strCache>
                <c:ptCount val="1"/>
                <c:pt idx="0">
                  <c:v>Power: electricity (before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'Start here'!$E$20:$E$21</c:f>
              <c:numCache>
                <c:formatCode>0</c:formatCode>
                <c:ptCount val="2"/>
                <c:pt idx="0">
                  <c:v>8.6680657084188919</c:v>
                </c:pt>
                <c:pt idx="1">
                  <c:v>3.7687242210516918</c:v>
                </c:pt>
              </c:numCache>
            </c:numRef>
          </c:val>
          <c:extLst>
            <c:ext xmlns:c16="http://schemas.microsoft.com/office/drawing/2014/chart" uri="{C3380CC4-5D6E-409C-BE32-E72D297353CC}">
              <c16:uniqueId val="{00000001-9FF8-47E9-B667-70FAFB96B001}"/>
            </c:ext>
          </c:extLst>
        </c:ser>
        <c:ser>
          <c:idx val="2"/>
          <c:order val="2"/>
          <c:tx>
            <c:strRef>
              <c:f>'Start here'!$I$12</c:f>
              <c:strCache>
                <c:ptCount val="1"/>
                <c:pt idx="0">
                  <c:v>Transport (private cars)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'Start here'!$I$20:$I$21</c:f>
              <c:numCache>
                <c:formatCode>0</c:formatCode>
                <c:ptCount val="2"/>
                <c:pt idx="0">
                  <c:v>30.204014351069656</c:v>
                </c:pt>
                <c:pt idx="1">
                  <c:v>13.132180152638982</c:v>
                </c:pt>
              </c:numCache>
            </c:numRef>
          </c:val>
          <c:extLst>
            <c:ext xmlns:c16="http://schemas.microsoft.com/office/drawing/2014/chart" uri="{C3380CC4-5D6E-409C-BE32-E72D297353CC}">
              <c16:uniqueId val="{00000002-9FF8-47E9-B667-70FAFB96B001}"/>
            </c:ext>
          </c:extLst>
        </c:ser>
        <c:dLbls>
          <c:showLegendKey val="0"/>
          <c:showVal val="0"/>
          <c:showCatName val="0"/>
          <c:showSerName val="0"/>
          <c:showPercent val="0"/>
          <c:showBubbleSize val="0"/>
        </c:dLbls>
        <c:gapWidth val="150"/>
        <c:axId val="-2119330152"/>
        <c:axId val="-2119327096"/>
      </c:barChart>
      <c:catAx>
        <c:axId val="-2119330152"/>
        <c:scaling>
          <c:orientation val="minMax"/>
        </c:scaling>
        <c:delete val="0"/>
        <c:axPos val="b"/>
        <c:numFmt formatCode="General" sourceLinked="0"/>
        <c:majorTickMark val="out"/>
        <c:minorTickMark val="none"/>
        <c:tickLblPos val="nextTo"/>
        <c:crossAx val="-2119327096"/>
        <c:crosses val="autoZero"/>
        <c:auto val="1"/>
        <c:lblAlgn val="ctr"/>
        <c:lblOffset val="100"/>
        <c:noMultiLvlLbl val="0"/>
      </c:catAx>
      <c:valAx>
        <c:axId val="-2119327096"/>
        <c:scaling>
          <c:orientation val="minMax"/>
        </c:scaling>
        <c:delete val="0"/>
        <c:axPos val="l"/>
        <c:majorGridlines/>
        <c:numFmt formatCode="0" sourceLinked="1"/>
        <c:majorTickMark val="out"/>
        <c:minorTickMark val="none"/>
        <c:tickLblPos val="nextTo"/>
        <c:crossAx val="-211933015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here'!$D$12</c:f>
              <c:strCache>
                <c:ptCount val="1"/>
                <c:pt idx="0">
                  <c:v>Heating (with energy efficiency)</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'Start here'!$A$20:$A$21</c:f>
              <c:strCache>
                <c:ptCount val="2"/>
                <c:pt idx="0">
                  <c:v>Per household (kWh/day)</c:v>
                </c:pt>
                <c:pt idx="1">
                  <c:v>Per person (kWh/day)</c:v>
                </c:pt>
              </c:strCache>
            </c:strRef>
          </c:cat>
          <c:val>
            <c:numRef>
              <c:f>'Start here'!$D$20:$D$21</c:f>
              <c:numCache>
                <c:formatCode>0</c:formatCode>
                <c:ptCount val="2"/>
                <c:pt idx="0">
                  <c:v>23.470797535934292</c:v>
                </c:pt>
                <c:pt idx="1">
                  <c:v>10.204694580840998</c:v>
                </c:pt>
              </c:numCache>
            </c:numRef>
          </c:val>
          <c:extLst>
            <c:ext xmlns:c16="http://schemas.microsoft.com/office/drawing/2014/chart" uri="{C3380CC4-5D6E-409C-BE32-E72D297353CC}">
              <c16:uniqueId val="{00000000-9BFA-4B82-AF25-664EA1ECA6F8}"/>
            </c:ext>
          </c:extLst>
        </c:ser>
        <c:ser>
          <c:idx val="1"/>
          <c:order val="1"/>
          <c:tx>
            <c:strRef>
              <c:f>'Start here'!$F$12</c:f>
              <c:strCache>
                <c:ptCount val="1"/>
                <c:pt idx="0">
                  <c:v>Power (with energy efficiency measures)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'Start here'!$F$20:$F$21</c:f>
              <c:numCache>
                <c:formatCode>0</c:formatCode>
                <c:ptCount val="2"/>
                <c:pt idx="0">
                  <c:v>6.7957635154004112</c:v>
                </c:pt>
                <c:pt idx="1">
                  <c:v>2.9546797893045271</c:v>
                </c:pt>
              </c:numCache>
            </c:numRef>
          </c:val>
          <c:extLst>
            <c:ext xmlns:c16="http://schemas.microsoft.com/office/drawing/2014/chart" uri="{C3380CC4-5D6E-409C-BE32-E72D297353CC}">
              <c16:uniqueId val="{00000001-9BFA-4B82-AF25-664EA1ECA6F8}"/>
            </c:ext>
          </c:extLst>
        </c:ser>
        <c:ser>
          <c:idx val="2"/>
          <c:order val="2"/>
          <c:tx>
            <c:strRef>
              <c:f>'Start here'!$I$12</c:f>
              <c:strCache>
                <c:ptCount val="1"/>
                <c:pt idx="0">
                  <c:v>Transport (private cars)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'Start here'!$I$20:$I$21</c:f>
              <c:numCache>
                <c:formatCode>0</c:formatCode>
                <c:ptCount val="2"/>
                <c:pt idx="0">
                  <c:v>30.204014351069656</c:v>
                </c:pt>
                <c:pt idx="1">
                  <c:v>13.132180152638982</c:v>
                </c:pt>
              </c:numCache>
            </c:numRef>
          </c:val>
          <c:extLst>
            <c:ext xmlns:c16="http://schemas.microsoft.com/office/drawing/2014/chart" uri="{C3380CC4-5D6E-409C-BE32-E72D297353CC}">
              <c16:uniqueId val="{00000002-9BFA-4B82-AF25-664EA1ECA6F8}"/>
            </c:ext>
          </c:extLst>
        </c:ser>
        <c:dLbls>
          <c:showLegendKey val="0"/>
          <c:showVal val="0"/>
          <c:showCatName val="0"/>
          <c:showSerName val="0"/>
          <c:showPercent val="0"/>
          <c:showBubbleSize val="0"/>
        </c:dLbls>
        <c:gapWidth val="150"/>
        <c:axId val="-2119290136"/>
        <c:axId val="-2119287080"/>
      </c:barChart>
      <c:catAx>
        <c:axId val="-2119290136"/>
        <c:scaling>
          <c:orientation val="minMax"/>
        </c:scaling>
        <c:delete val="0"/>
        <c:axPos val="b"/>
        <c:numFmt formatCode="General" sourceLinked="0"/>
        <c:majorTickMark val="out"/>
        <c:minorTickMark val="none"/>
        <c:tickLblPos val="nextTo"/>
        <c:crossAx val="-2119287080"/>
        <c:crosses val="autoZero"/>
        <c:auto val="1"/>
        <c:lblAlgn val="ctr"/>
        <c:lblOffset val="100"/>
        <c:noMultiLvlLbl val="0"/>
      </c:catAx>
      <c:valAx>
        <c:axId val="-2119287080"/>
        <c:scaling>
          <c:orientation val="minMax"/>
        </c:scaling>
        <c:delete val="0"/>
        <c:axPos val="l"/>
        <c:majorGridlines/>
        <c:numFmt formatCode="0" sourceLinked="1"/>
        <c:majorTickMark val="out"/>
        <c:minorTickMark val="none"/>
        <c:tickLblPos val="nextTo"/>
        <c:crossAx val="-2119290136"/>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here'!$C$12</c:f>
              <c:strCache>
                <c:ptCount val="1"/>
                <c:pt idx="0">
                  <c:v>Heating (before energy efficiency)</c:v>
                </c:pt>
              </c:strCache>
            </c:strRef>
          </c:tx>
          <c:invertIfNegative val="0"/>
          <c:cat>
            <c:strRef>
              <c:f>'Start here'!$A$25:$A$26</c:f>
              <c:strCache>
                <c:ptCount val="2"/>
                <c:pt idx="0">
                  <c:v>Per household (kg CO2/year)</c:v>
                </c:pt>
                <c:pt idx="1">
                  <c:v>Per person (kg CO2/year)</c:v>
                </c:pt>
              </c:strCache>
            </c:strRef>
          </c:cat>
          <c:val>
            <c:numRef>
              <c:f>'Start here'!$C$25:$C$26</c:f>
              <c:numCache>
                <c:formatCode>#,##0</c:formatCode>
                <c:ptCount val="2"/>
                <c:pt idx="0">
                  <c:v>2176.7425354799998</c:v>
                </c:pt>
                <c:pt idx="1">
                  <c:v>946.40979803478251</c:v>
                </c:pt>
              </c:numCache>
            </c:numRef>
          </c:val>
          <c:extLst>
            <c:ext xmlns:c16="http://schemas.microsoft.com/office/drawing/2014/chart" uri="{C3380CC4-5D6E-409C-BE32-E72D297353CC}">
              <c16:uniqueId val="{00000000-5D3A-4435-8DE1-5086C1D54B26}"/>
            </c:ext>
          </c:extLst>
        </c:ser>
        <c:ser>
          <c:idx val="1"/>
          <c:order val="1"/>
          <c:tx>
            <c:strRef>
              <c:f>'Start here'!$E$12</c:f>
              <c:strCache>
                <c:ptCount val="1"/>
                <c:pt idx="0">
                  <c:v>Power: electricity (before energy efficiency)</c:v>
                </c:pt>
              </c:strCache>
            </c:strRef>
          </c:tx>
          <c:invertIfNegative val="0"/>
          <c:val>
            <c:numRef>
              <c:f>'Start here'!$E$25:$E$26</c:f>
              <c:numCache>
                <c:formatCode>#,##0</c:formatCode>
                <c:ptCount val="2"/>
                <c:pt idx="0">
                  <c:v>1113.0428271600001</c:v>
                </c:pt>
                <c:pt idx="1">
                  <c:v>483.93166398260871</c:v>
                </c:pt>
              </c:numCache>
            </c:numRef>
          </c:val>
          <c:extLst>
            <c:ext xmlns:c16="http://schemas.microsoft.com/office/drawing/2014/chart" uri="{C3380CC4-5D6E-409C-BE32-E72D297353CC}">
              <c16:uniqueId val="{00000001-5D3A-4435-8DE1-5086C1D54B26}"/>
            </c:ext>
          </c:extLst>
        </c:ser>
        <c:ser>
          <c:idx val="2"/>
          <c:order val="2"/>
          <c:tx>
            <c:strRef>
              <c:f>'Start here'!$I$12</c:f>
              <c:strCache>
                <c:ptCount val="1"/>
                <c:pt idx="0">
                  <c:v>Transport (private cars)</c:v>
                </c:pt>
              </c:strCache>
            </c:strRef>
          </c:tx>
          <c:invertIfNegative val="0"/>
          <c:val>
            <c:numRef>
              <c:f>'Start here'!$I$25:$I$26</c:f>
              <c:numCache>
                <c:formatCode>#,##0</c:formatCode>
                <c:ptCount val="2"/>
                <c:pt idx="0">
                  <c:v>2642.0300720029936</c:v>
                </c:pt>
                <c:pt idx="1">
                  <c:v>1148.7087269578233</c:v>
                </c:pt>
              </c:numCache>
            </c:numRef>
          </c:val>
          <c:extLst>
            <c:ext xmlns:c16="http://schemas.microsoft.com/office/drawing/2014/chart" uri="{C3380CC4-5D6E-409C-BE32-E72D297353CC}">
              <c16:uniqueId val="{00000002-5D3A-4435-8DE1-5086C1D54B26}"/>
            </c:ext>
          </c:extLst>
        </c:ser>
        <c:dLbls>
          <c:showLegendKey val="0"/>
          <c:showVal val="0"/>
          <c:showCatName val="0"/>
          <c:showSerName val="0"/>
          <c:showPercent val="0"/>
          <c:showBubbleSize val="0"/>
        </c:dLbls>
        <c:gapWidth val="150"/>
        <c:axId val="-2119257336"/>
        <c:axId val="-2119254360"/>
      </c:barChart>
      <c:catAx>
        <c:axId val="-2119257336"/>
        <c:scaling>
          <c:orientation val="minMax"/>
        </c:scaling>
        <c:delete val="0"/>
        <c:axPos val="b"/>
        <c:numFmt formatCode="General" sourceLinked="0"/>
        <c:majorTickMark val="out"/>
        <c:minorTickMark val="none"/>
        <c:tickLblPos val="nextTo"/>
        <c:crossAx val="-2119254360"/>
        <c:crosses val="autoZero"/>
        <c:auto val="1"/>
        <c:lblAlgn val="ctr"/>
        <c:lblOffset val="100"/>
        <c:noMultiLvlLbl val="0"/>
      </c:catAx>
      <c:valAx>
        <c:axId val="-2119254360"/>
        <c:scaling>
          <c:orientation val="minMax"/>
        </c:scaling>
        <c:delete val="0"/>
        <c:axPos val="l"/>
        <c:majorGridlines/>
        <c:numFmt formatCode="#,##0" sourceLinked="1"/>
        <c:majorTickMark val="out"/>
        <c:minorTickMark val="none"/>
        <c:tickLblPos val="nextTo"/>
        <c:crossAx val="-2119257336"/>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barChart>
        <c:barDir val="col"/>
        <c:grouping val="clustered"/>
        <c:varyColors val="0"/>
        <c:ser>
          <c:idx val="0"/>
          <c:order val="0"/>
          <c:tx>
            <c:strRef>
              <c:f>'Start here'!$D$12</c:f>
              <c:strCache>
                <c:ptCount val="1"/>
                <c:pt idx="0">
                  <c:v>Heating (with energy efficiency)</c:v>
                </c:pt>
              </c:strCache>
            </c:strRef>
          </c:tx>
          <c:invertIfNegative val="0"/>
          <c:cat>
            <c:strRef>
              <c:f>'Start here'!$A$25:$A$26</c:f>
              <c:strCache>
                <c:ptCount val="2"/>
                <c:pt idx="0">
                  <c:v>Per household (kg CO2/year)</c:v>
                </c:pt>
                <c:pt idx="1">
                  <c:v>Per person (kg CO2/year)</c:v>
                </c:pt>
              </c:strCache>
            </c:strRef>
          </c:cat>
          <c:val>
            <c:numRef>
              <c:f>'Start here'!$D$25:$D$26</c:f>
              <c:numCache>
                <c:formatCode>#,##0</c:formatCode>
                <c:ptCount val="2"/>
                <c:pt idx="0">
                  <c:v>1654.3243269647996</c:v>
                </c:pt>
                <c:pt idx="1">
                  <c:v>719.2714465064347</c:v>
                </c:pt>
              </c:numCache>
            </c:numRef>
          </c:val>
          <c:extLst>
            <c:ext xmlns:c16="http://schemas.microsoft.com/office/drawing/2014/chart" uri="{C3380CC4-5D6E-409C-BE32-E72D297353CC}">
              <c16:uniqueId val="{00000000-CAF6-4ECE-9015-91B61F7607C7}"/>
            </c:ext>
          </c:extLst>
        </c:ser>
        <c:ser>
          <c:idx val="1"/>
          <c:order val="1"/>
          <c:tx>
            <c:strRef>
              <c:f>'Start here'!$F$12</c:f>
              <c:strCache>
                <c:ptCount val="1"/>
                <c:pt idx="0">
                  <c:v>Power (with energy efficiency measures)</c:v>
                </c:pt>
              </c:strCache>
            </c:strRef>
          </c:tx>
          <c:invertIfNegative val="0"/>
          <c:val>
            <c:numRef>
              <c:f>'Start here'!$F$25:$F$26</c:f>
              <c:numCache>
                <c:formatCode>#,##0</c:formatCode>
                <c:ptCount val="2"/>
                <c:pt idx="0">
                  <c:v>872.62557649344001</c:v>
                </c:pt>
                <c:pt idx="1">
                  <c:v>379.40242456236524</c:v>
                </c:pt>
              </c:numCache>
            </c:numRef>
          </c:val>
          <c:extLst>
            <c:ext xmlns:c16="http://schemas.microsoft.com/office/drawing/2014/chart" uri="{C3380CC4-5D6E-409C-BE32-E72D297353CC}">
              <c16:uniqueId val="{00000001-CAF6-4ECE-9015-91B61F7607C7}"/>
            </c:ext>
          </c:extLst>
        </c:ser>
        <c:ser>
          <c:idx val="2"/>
          <c:order val="2"/>
          <c:tx>
            <c:strRef>
              <c:f>'Start here'!$I$12</c:f>
              <c:strCache>
                <c:ptCount val="1"/>
                <c:pt idx="0">
                  <c:v>Transport (private cars)</c:v>
                </c:pt>
              </c:strCache>
            </c:strRef>
          </c:tx>
          <c:invertIfNegative val="0"/>
          <c:val>
            <c:numRef>
              <c:f>'Start here'!$I$25:$I$26</c:f>
              <c:numCache>
                <c:formatCode>#,##0</c:formatCode>
                <c:ptCount val="2"/>
                <c:pt idx="0">
                  <c:v>2642.0300720029936</c:v>
                </c:pt>
                <c:pt idx="1">
                  <c:v>1148.7087269578233</c:v>
                </c:pt>
              </c:numCache>
            </c:numRef>
          </c:val>
          <c:extLst>
            <c:ext xmlns:c16="http://schemas.microsoft.com/office/drawing/2014/chart" uri="{C3380CC4-5D6E-409C-BE32-E72D297353CC}">
              <c16:uniqueId val="{00000002-CAF6-4ECE-9015-91B61F7607C7}"/>
            </c:ext>
          </c:extLst>
        </c:ser>
        <c:dLbls>
          <c:showLegendKey val="0"/>
          <c:showVal val="0"/>
          <c:showCatName val="0"/>
          <c:showSerName val="0"/>
          <c:showPercent val="0"/>
          <c:showBubbleSize val="0"/>
        </c:dLbls>
        <c:gapWidth val="150"/>
        <c:axId val="-2119224312"/>
        <c:axId val="-2119221336"/>
      </c:barChart>
      <c:catAx>
        <c:axId val="-2119224312"/>
        <c:scaling>
          <c:orientation val="minMax"/>
        </c:scaling>
        <c:delete val="0"/>
        <c:axPos val="b"/>
        <c:numFmt formatCode="General" sourceLinked="0"/>
        <c:majorTickMark val="out"/>
        <c:minorTickMark val="none"/>
        <c:tickLblPos val="nextTo"/>
        <c:crossAx val="-2119221336"/>
        <c:crosses val="autoZero"/>
        <c:auto val="1"/>
        <c:lblAlgn val="ctr"/>
        <c:lblOffset val="100"/>
        <c:noMultiLvlLbl val="0"/>
      </c:catAx>
      <c:valAx>
        <c:axId val="-2119221336"/>
        <c:scaling>
          <c:orientation val="minMax"/>
        </c:scaling>
        <c:delete val="0"/>
        <c:axPos val="l"/>
        <c:majorGridlines/>
        <c:numFmt formatCode="#,##0" sourceLinked="1"/>
        <c:majorTickMark val="out"/>
        <c:minorTickMark val="none"/>
        <c:tickLblPos val="nextTo"/>
        <c:crossAx val="-2119224312"/>
        <c:crosses val="autoZero"/>
        <c:crossBetween val="between"/>
      </c:valAx>
    </c:plotArea>
    <c:legend>
      <c:legendPos val="r"/>
      <c:overlay val="0"/>
    </c:legend>
    <c:plotVisOnly val="1"/>
    <c:dispBlanksAs val="gap"/>
    <c:showDLblsOverMax val="0"/>
  </c:chart>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overlay val="0"/>
    </c:title>
    <c:autoTitleDeleted val="0"/>
    <c:plotArea>
      <c:layout/>
      <c:pieChart>
        <c:varyColors val="1"/>
        <c:ser>
          <c:idx val="0"/>
          <c:order val="0"/>
          <c:tx>
            <c:strRef>
              <c:f>'Start here'!$A$23</c:f>
              <c:strCache>
                <c:ptCount val="1"/>
                <c:pt idx="0">
                  <c:v>Estimated annual CO2 emissions (kg/yr)</c:v>
                </c:pt>
              </c:strCache>
            </c:strRef>
          </c:tx>
          <c:dLbls>
            <c:spPr>
              <a:noFill/>
              <a:ln>
                <a:noFill/>
              </a:ln>
              <a:effectLst/>
            </c:spPr>
            <c:showLegendKey val="0"/>
            <c:showVal val="1"/>
            <c:showCatName val="0"/>
            <c:showSerName val="0"/>
            <c:showPercent val="0"/>
            <c:showBubbleSize val="0"/>
            <c:showLeaderLines val="1"/>
            <c:extLst>
              <c:ext xmlns:c15="http://schemas.microsoft.com/office/drawing/2012/chart" uri="{CE6537A1-D6FC-4f65-9D91-7224C49458BB}"/>
            </c:extLst>
          </c:dLbls>
          <c:cat>
            <c:strRef>
              <c:f>('Start here'!$C$12,'Start here'!$E$12,'Start here'!$I$12)</c:f>
              <c:strCache>
                <c:ptCount val="3"/>
                <c:pt idx="0">
                  <c:v>Heating (before energy efficiency)</c:v>
                </c:pt>
                <c:pt idx="1">
                  <c:v>Power: electricity (before energy efficiency)</c:v>
                </c:pt>
                <c:pt idx="2">
                  <c:v>Transport (private cars)</c:v>
                </c:pt>
              </c:strCache>
            </c:strRef>
          </c:cat>
          <c:val>
            <c:numRef>
              <c:f>('Start here'!$C$24,'Start here'!$E$24,'Start here'!$I$24)</c:f>
              <c:numCache>
                <c:formatCode>#,##0</c:formatCode>
                <c:ptCount val="3"/>
                <c:pt idx="0">
                  <c:v>18928195.96069565</c:v>
                </c:pt>
                <c:pt idx="1">
                  <c:v>9678633.2796521746</c:v>
                </c:pt>
                <c:pt idx="2">
                  <c:v>22974174.539156467</c:v>
                </c:pt>
              </c:numCache>
            </c:numRef>
          </c:val>
          <c:extLst>
            <c:ext xmlns:c16="http://schemas.microsoft.com/office/drawing/2014/chart" uri="{C3380CC4-5D6E-409C-BE32-E72D297353CC}">
              <c16:uniqueId val="{00000000-44FB-45A7-9308-C0E3F2B98DC7}"/>
            </c:ext>
          </c:extLst>
        </c:ser>
        <c:dLbls>
          <c:showLegendKey val="0"/>
          <c:showVal val="0"/>
          <c:showCatName val="0"/>
          <c:showSerName val="0"/>
          <c:showPercent val="0"/>
          <c:showBubbleSize val="0"/>
          <c:showLeaderLines val="1"/>
        </c:dLbls>
        <c:firstSliceAng val="0"/>
      </c:pieChart>
    </c:plotArea>
    <c:legend>
      <c:legendPos val="r"/>
      <c:overlay val="0"/>
      <c:txPr>
        <a:bodyPr/>
        <a:lstStyle/>
        <a:p>
          <a:pPr rtl="0">
            <a:defRPr/>
          </a:pPr>
          <a:endParaRPr lang="en-US"/>
        </a:p>
      </c:txPr>
    </c:legend>
    <c:plotVisOnly val="1"/>
    <c:dispBlanksAs val="gap"/>
    <c:showDLblsOverMax val="0"/>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0</xdr:rowOff>
    </xdr:from>
    <xdr:to>
      <xdr:col>7</xdr:col>
      <xdr:colOff>829733</xdr:colOff>
      <xdr:row>20</xdr:row>
      <xdr:rowOff>16934</xdr:rowOff>
    </xdr:to>
    <xdr:graphicFrame macro="">
      <xdr:nvGraphicFramePr>
        <xdr:cNvPr id="4" name="Chart 3">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4</xdr:row>
      <xdr:rowOff>194732</xdr:rowOff>
    </xdr:from>
    <xdr:to>
      <xdr:col>17</xdr:col>
      <xdr:colOff>8467</xdr:colOff>
      <xdr:row>19</xdr:row>
      <xdr:rowOff>186265</xdr:rowOff>
    </xdr:to>
    <xdr:graphicFrame macro="">
      <xdr:nvGraphicFramePr>
        <xdr:cNvPr id="5" name="Chart 4">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16933</xdr:colOff>
      <xdr:row>23</xdr:row>
      <xdr:rowOff>194732</xdr:rowOff>
    </xdr:from>
    <xdr:to>
      <xdr:col>8</xdr:col>
      <xdr:colOff>0</xdr:colOff>
      <xdr:row>42</xdr:row>
      <xdr:rowOff>8466</xdr:rowOff>
    </xdr:to>
    <xdr:graphicFrame macro="">
      <xdr:nvGraphicFramePr>
        <xdr:cNvPr id="6" name="Chart 5">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24</xdr:row>
      <xdr:rowOff>0</xdr:rowOff>
    </xdr:from>
    <xdr:to>
      <xdr:col>16</xdr:col>
      <xdr:colOff>812801</xdr:colOff>
      <xdr:row>42</xdr:row>
      <xdr:rowOff>8467</xdr:rowOff>
    </xdr:to>
    <xdr:graphicFrame macro="">
      <xdr:nvGraphicFramePr>
        <xdr:cNvPr id="7" name="Chart 6">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47</xdr:row>
      <xdr:rowOff>71120</xdr:rowOff>
    </xdr:from>
    <xdr:to>
      <xdr:col>8</xdr:col>
      <xdr:colOff>0</xdr:colOff>
      <xdr:row>65</xdr:row>
      <xdr:rowOff>10160</xdr:rowOff>
    </xdr:to>
    <xdr:graphicFrame macro="">
      <xdr:nvGraphicFramePr>
        <xdr:cNvPr id="8" name="Chart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47</xdr:row>
      <xdr:rowOff>0</xdr:rowOff>
    </xdr:from>
    <xdr:to>
      <xdr:col>17</xdr:col>
      <xdr:colOff>0</xdr:colOff>
      <xdr:row>64</xdr:row>
      <xdr:rowOff>132080</xdr:rowOff>
    </xdr:to>
    <xdr:graphicFrame macro="">
      <xdr:nvGraphicFramePr>
        <xdr:cNvPr id="9" name="Chart 8">
          <a:extLst>
            <a:ext uri="{FF2B5EF4-FFF2-40B4-BE49-F238E27FC236}">
              <a16:creationId xmlns:a16="http://schemas.microsoft.com/office/drawing/2014/main" id="{00000000-0008-0000-07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70</xdr:row>
      <xdr:rowOff>10160</xdr:rowOff>
    </xdr:from>
    <xdr:to>
      <xdr:col>8</xdr:col>
      <xdr:colOff>10160</xdr:colOff>
      <xdr:row>88</xdr:row>
      <xdr:rowOff>10160</xdr:rowOff>
    </xdr:to>
    <xdr:graphicFrame macro="">
      <xdr:nvGraphicFramePr>
        <xdr:cNvPr id="10" name="Chart 9">
          <a:extLst>
            <a:ext uri="{FF2B5EF4-FFF2-40B4-BE49-F238E27FC236}">
              <a16:creationId xmlns:a16="http://schemas.microsoft.com/office/drawing/2014/main" id="{00000000-0008-0000-07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70</xdr:row>
      <xdr:rowOff>0</xdr:rowOff>
    </xdr:from>
    <xdr:to>
      <xdr:col>17</xdr:col>
      <xdr:colOff>10160</xdr:colOff>
      <xdr:row>88</xdr:row>
      <xdr:rowOff>0</xdr:rowOff>
    </xdr:to>
    <xdr:graphicFrame macro="">
      <xdr:nvGraphicFramePr>
        <xdr:cNvPr id="11" name="Chart 10">
          <a:extLst>
            <a:ext uri="{FF2B5EF4-FFF2-40B4-BE49-F238E27FC236}">
              <a16:creationId xmlns:a16="http://schemas.microsoft.com/office/drawing/2014/main" id="{00000000-0008-0000-07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93</xdr:row>
      <xdr:rowOff>0</xdr:rowOff>
    </xdr:from>
    <xdr:to>
      <xdr:col>8</xdr:col>
      <xdr:colOff>0</xdr:colOff>
      <xdr:row>112</xdr:row>
      <xdr:rowOff>182880</xdr:rowOff>
    </xdr:to>
    <xdr:graphicFrame macro="">
      <xdr:nvGraphicFramePr>
        <xdr:cNvPr id="12" name="Chart 11">
          <a:extLst>
            <a:ext uri="{FF2B5EF4-FFF2-40B4-BE49-F238E27FC236}">
              <a16:creationId xmlns:a16="http://schemas.microsoft.com/office/drawing/2014/main" id="{00000000-0008-0000-07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93</xdr:row>
      <xdr:rowOff>0</xdr:rowOff>
    </xdr:from>
    <xdr:to>
      <xdr:col>17</xdr:col>
      <xdr:colOff>0</xdr:colOff>
      <xdr:row>112</xdr:row>
      <xdr:rowOff>182880</xdr:rowOff>
    </xdr:to>
    <xdr:graphicFrame macro="">
      <xdr:nvGraphicFramePr>
        <xdr:cNvPr id="13" name="Chart 12">
          <a:extLst>
            <a:ext uri="{FF2B5EF4-FFF2-40B4-BE49-F238E27FC236}">
              <a16:creationId xmlns:a16="http://schemas.microsoft.com/office/drawing/2014/main" id="{00000000-0008-0000-07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118</xdr:row>
      <xdr:rowOff>0</xdr:rowOff>
    </xdr:from>
    <xdr:to>
      <xdr:col>8</xdr:col>
      <xdr:colOff>0</xdr:colOff>
      <xdr:row>135</xdr:row>
      <xdr:rowOff>132080</xdr:rowOff>
    </xdr:to>
    <xdr:graphicFrame macro="">
      <xdr:nvGraphicFramePr>
        <xdr:cNvPr id="14" name="Chart 13">
          <a:extLst>
            <a:ext uri="{FF2B5EF4-FFF2-40B4-BE49-F238E27FC236}">
              <a16:creationId xmlns:a16="http://schemas.microsoft.com/office/drawing/2014/main" id="{00000000-0008-0000-07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118</xdr:row>
      <xdr:rowOff>0</xdr:rowOff>
    </xdr:from>
    <xdr:to>
      <xdr:col>17</xdr:col>
      <xdr:colOff>0</xdr:colOff>
      <xdr:row>135</xdr:row>
      <xdr:rowOff>132080</xdr:rowOff>
    </xdr:to>
    <xdr:graphicFrame macro="">
      <xdr:nvGraphicFramePr>
        <xdr:cNvPr id="15" name="Chart 14">
          <a:extLst>
            <a:ext uri="{FF2B5EF4-FFF2-40B4-BE49-F238E27FC236}">
              <a16:creationId xmlns:a16="http://schemas.microsoft.com/office/drawing/2014/main" id="{00000000-0008-0000-07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tabSelected="1" zoomScale="120" zoomScaleNormal="120" zoomScalePageLayoutView="120" workbookViewId="0"/>
  </sheetViews>
  <sheetFormatPr defaultColWidth="11" defaultRowHeight="15.6" x14ac:dyDescent="0.3"/>
  <sheetData>
    <row r="1" spans="1:19" x14ac:dyDescent="0.3">
      <c r="A1" s="2" t="s">
        <v>389</v>
      </c>
    </row>
    <row r="2" spans="1:19" x14ac:dyDescent="0.3">
      <c r="A2" s="2"/>
    </row>
    <row r="3" spans="1:19" x14ac:dyDescent="0.3">
      <c r="A3" s="2" t="s">
        <v>390</v>
      </c>
    </row>
    <row r="4" spans="1:19" ht="40.950000000000003" customHeight="1" x14ac:dyDescent="0.3">
      <c r="A4" s="104" t="s">
        <v>423</v>
      </c>
      <c r="B4" s="104"/>
      <c r="C4" s="104"/>
      <c r="D4" s="104"/>
      <c r="E4" s="104"/>
      <c r="F4" s="104"/>
      <c r="G4" s="104"/>
      <c r="H4" s="104"/>
      <c r="I4" s="104"/>
      <c r="J4" s="104"/>
      <c r="K4" s="104"/>
      <c r="L4" s="104"/>
      <c r="M4" s="104"/>
      <c r="N4" s="104"/>
      <c r="O4" s="104"/>
      <c r="P4" s="104"/>
      <c r="Q4" s="104"/>
      <c r="R4" s="104"/>
      <c r="S4" s="104"/>
    </row>
    <row r="6" spans="1:19" x14ac:dyDescent="0.3">
      <c r="A6" s="95" t="s">
        <v>378</v>
      </c>
    </row>
    <row r="7" spans="1:19" s="93" customFormat="1" ht="13.8" x14ac:dyDescent="0.3">
      <c r="A7" s="105" t="s">
        <v>412</v>
      </c>
      <c r="B7" s="105"/>
      <c r="C7" s="105"/>
      <c r="D7" s="105"/>
      <c r="E7" s="105"/>
      <c r="F7" s="105"/>
      <c r="G7" s="105"/>
      <c r="H7" s="105"/>
      <c r="I7" s="105"/>
      <c r="J7" s="105"/>
      <c r="K7" s="105"/>
      <c r="L7" s="105"/>
    </row>
    <row r="8" spans="1:19" s="93" customFormat="1" ht="13.8" x14ac:dyDescent="0.3"/>
    <row r="9" spans="1:19" x14ac:dyDescent="0.3">
      <c r="A9" s="95" t="s">
        <v>411</v>
      </c>
    </row>
    <row r="10" spans="1:19" s="93" customFormat="1" ht="13.8" x14ac:dyDescent="0.3">
      <c r="A10" s="105" t="s">
        <v>384</v>
      </c>
      <c r="B10" s="106"/>
      <c r="C10" s="106"/>
      <c r="D10" s="106"/>
      <c r="E10" s="106"/>
      <c r="F10" s="106"/>
      <c r="G10" s="106"/>
      <c r="H10" s="106"/>
      <c r="I10" s="106"/>
      <c r="J10" s="106"/>
      <c r="K10" s="106"/>
      <c r="L10" s="106"/>
    </row>
    <row r="11" spans="1:19" s="93" customFormat="1" ht="13.8" x14ac:dyDescent="0.3"/>
    <row r="12" spans="1:19" x14ac:dyDescent="0.3">
      <c r="A12" s="95" t="s">
        <v>383</v>
      </c>
    </row>
    <row r="13" spans="1:19" ht="114.75" customHeight="1" x14ac:dyDescent="0.3">
      <c r="A13" s="107" t="s">
        <v>413</v>
      </c>
      <c r="B13" s="107"/>
      <c r="C13" s="107"/>
      <c r="D13" s="107"/>
      <c r="E13" s="107"/>
      <c r="F13" s="107"/>
      <c r="G13" s="107"/>
      <c r="H13" s="107"/>
      <c r="I13" s="107"/>
      <c r="J13" s="107"/>
      <c r="K13" s="107"/>
      <c r="L13" s="107"/>
    </row>
    <row r="15" spans="1:19" x14ac:dyDescent="0.3">
      <c r="A15" s="95" t="s">
        <v>385</v>
      </c>
    </row>
    <row r="16" spans="1:19" ht="99" customHeight="1" x14ac:dyDescent="0.3">
      <c r="A16" s="107" t="s">
        <v>386</v>
      </c>
      <c r="B16" s="107"/>
      <c r="C16" s="107"/>
      <c r="D16" s="107"/>
      <c r="E16" s="107"/>
      <c r="F16" s="107"/>
      <c r="G16" s="107"/>
      <c r="H16" s="107"/>
      <c r="I16" s="107"/>
      <c r="J16" s="107"/>
      <c r="K16" s="107"/>
      <c r="L16" s="107"/>
    </row>
    <row r="18" spans="1:12" s="93" customFormat="1" ht="14.4" x14ac:dyDescent="0.3">
      <c r="A18" s="95" t="s">
        <v>379</v>
      </c>
    </row>
    <row r="19" spans="1:12" ht="87" customHeight="1" x14ac:dyDescent="0.3">
      <c r="A19" s="105" t="s">
        <v>387</v>
      </c>
      <c r="B19" s="105"/>
      <c r="C19" s="105"/>
      <c r="D19" s="105"/>
      <c r="E19" s="105"/>
      <c r="F19" s="105"/>
      <c r="G19" s="105"/>
      <c r="H19" s="105"/>
      <c r="I19" s="105"/>
      <c r="J19" s="105"/>
      <c r="K19" s="105"/>
      <c r="L19" s="105"/>
    </row>
    <row r="20" spans="1:12" x14ac:dyDescent="0.3">
      <c r="A20" s="95" t="s">
        <v>380</v>
      </c>
    </row>
    <row r="21" spans="1:12" ht="33.75" customHeight="1" x14ac:dyDescent="0.3">
      <c r="A21" s="105" t="s">
        <v>388</v>
      </c>
      <c r="B21" s="105"/>
      <c r="C21" s="105"/>
      <c r="D21" s="105"/>
      <c r="E21" s="105"/>
      <c r="F21" s="105"/>
      <c r="G21" s="105"/>
      <c r="H21" s="105"/>
      <c r="I21" s="105"/>
      <c r="J21" s="105"/>
      <c r="K21" s="105"/>
      <c r="L21" s="105"/>
    </row>
    <row r="22" spans="1:12" x14ac:dyDescent="0.3">
      <c r="A22" s="95" t="s">
        <v>381</v>
      </c>
    </row>
    <row r="23" spans="1:12" s="93" customFormat="1" ht="111" customHeight="1" x14ac:dyDescent="0.3">
      <c r="A23" s="105" t="s">
        <v>414</v>
      </c>
      <c r="B23" s="105"/>
      <c r="C23" s="105"/>
      <c r="D23" s="105"/>
      <c r="E23" s="105"/>
      <c r="F23" s="105"/>
      <c r="G23" s="105"/>
      <c r="H23" s="105"/>
      <c r="I23" s="105"/>
      <c r="J23" s="105"/>
      <c r="K23" s="105"/>
      <c r="L23" s="105"/>
    </row>
    <row r="25" spans="1:12" x14ac:dyDescent="0.3">
      <c r="A25" s="13" t="s">
        <v>430</v>
      </c>
      <c r="B25" s="103">
        <v>43312</v>
      </c>
    </row>
  </sheetData>
  <mergeCells count="8">
    <mergeCell ref="A4:S4"/>
    <mergeCell ref="A23:L23"/>
    <mergeCell ref="A7:L7"/>
    <mergeCell ref="A10:L10"/>
    <mergeCell ref="A13:L13"/>
    <mergeCell ref="A16:L16"/>
    <mergeCell ref="A19:L19"/>
    <mergeCell ref="A21:L21"/>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5"/>
  <sheetViews>
    <sheetView topLeftCell="C5" zoomScale="150" zoomScaleNormal="150" zoomScalePageLayoutView="150" workbookViewId="0">
      <selection activeCell="D10" sqref="D10"/>
    </sheetView>
  </sheetViews>
  <sheetFormatPr defaultColWidth="11" defaultRowHeight="15.6" x14ac:dyDescent="0.3"/>
  <cols>
    <col min="1" max="1" width="22.296875" customWidth="1"/>
    <col min="2" max="2" width="47" customWidth="1"/>
    <col min="3" max="3" width="85.69921875" customWidth="1"/>
    <col min="4" max="4" width="57.19921875" customWidth="1"/>
  </cols>
  <sheetData>
    <row r="1" spans="1:6" x14ac:dyDescent="0.3">
      <c r="A1" s="2" t="s">
        <v>391</v>
      </c>
    </row>
    <row r="2" spans="1:6" x14ac:dyDescent="0.3">
      <c r="A2" s="2"/>
    </row>
    <row r="3" spans="1:6" s="95" customFormat="1" ht="14.4" x14ac:dyDescent="0.3">
      <c r="A3" s="94" t="s">
        <v>88</v>
      </c>
      <c r="B3" s="95" t="s">
        <v>0</v>
      </c>
      <c r="C3" s="95" t="s">
        <v>2</v>
      </c>
      <c r="D3" s="95" t="s">
        <v>4</v>
      </c>
    </row>
    <row r="4" spans="1:6" s="96" customFormat="1" ht="55.2" x14ac:dyDescent="0.3">
      <c r="A4" s="92" t="s">
        <v>394</v>
      </c>
      <c r="B4" s="92" t="s">
        <v>398</v>
      </c>
      <c r="C4" s="92" t="s">
        <v>395</v>
      </c>
      <c r="D4" s="92" t="s">
        <v>397</v>
      </c>
    </row>
    <row r="5" spans="1:6" s="93" customFormat="1" ht="69" x14ac:dyDescent="0.3">
      <c r="A5" s="92" t="s">
        <v>5</v>
      </c>
      <c r="B5" s="92" t="s">
        <v>1</v>
      </c>
      <c r="C5" s="92" t="s">
        <v>3</v>
      </c>
      <c r="D5" s="92" t="s">
        <v>6</v>
      </c>
    </row>
    <row r="6" spans="1:6" s="93" customFormat="1" ht="41.4" x14ac:dyDescent="0.3">
      <c r="A6" s="92" t="s">
        <v>7</v>
      </c>
      <c r="B6" s="92" t="s">
        <v>8</v>
      </c>
      <c r="C6" s="92" t="s">
        <v>9</v>
      </c>
      <c r="D6" s="92" t="s">
        <v>10</v>
      </c>
    </row>
    <row r="7" spans="1:6" s="93" customFormat="1" ht="27.6" x14ac:dyDescent="0.3">
      <c r="A7" s="92" t="s">
        <v>11</v>
      </c>
      <c r="B7" s="92" t="s">
        <v>12</v>
      </c>
      <c r="C7" s="92" t="s">
        <v>13</v>
      </c>
      <c r="D7" s="92" t="s">
        <v>14</v>
      </c>
    </row>
    <row r="8" spans="1:6" s="93" customFormat="1" ht="98.25" customHeight="1" x14ac:dyDescent="0.3">
      <c r="A8" s="92" t="s">
        <v>201</v>
      </c>
      <c r="B8" s="92" t="s">
        <v>392</v>
      </c>
      <c r="C8" s="92" t="s">
        <v>393</v>
      </c>
      <c r="D8" s="92" t="s">
        <v>396</v>
      </c>
    </row>
    <row r="9" spans="1:6" s="93" customFormat="1" ht="96.6" x14ac:dyDescent="0.3">
      <c r="A9" s="102" t="s">
        <v>424</v>
      </c>
      <c r="B9" s="102" t="s">
        <v>426</v>
      </c>
      <c r="C9" s="92" t="s">
        <v>425</v>
      </c>
      <c r="D9" s="102" t="s">
        <v>427</v>
      </c>
    </row>
    <row r="10" spans="1:6" s="93" customFormat="1" ht="13.8" x14ac:dyDescent="0.3">
      <c r="A10" s="92"/>
      <c r="B10" s="92"/>
      <c r="C10" s="92"/>
      <c r="D10" s="92"/>
    </row>
    <row r="11" spans="1:6" s="93" customFormat="1" ht="13.8" x14ac:dyDescent="0.3">
      <c r="A11" s="92"/>
      <c r="B11" s="92"/>
      <c r="C11" s="92"/>
      <c r="D11" s="92"/>
      <c r="F11" s="3"/>
    </row>
    <row r="12" spans="1:6" s="93" customFormat="1" ht="13.8" x14ac:dyDescent="0.3">
      <c r="A12" s="92"/>
      <c r="B12" s="92"/>
      <c r="C12" s="92"/>
      <c r="D12" s="92"/>
    </row>
    <row r="13" spans="1:6" s="93" customFormat="1" ht="13.8" x14ac:dyDescent="0.3">
      <c r="A13" s="92"/>
      <c r="B13" s="92"/>
      <c r="C13" s="92"/>
      <c r="D13" s="92"/>
    </row>
    <row r="14" spans="1:6" x14ac:dyDescent="0.3">
      <c r="A14" s="1"/>
      <c r="B14" s="90"/>
      <c r="C14" s="90"/>
      <c r="D14" s="90"/>
    </row>
    <row r="15" spans="1:6" x14ac:dyDescent="0.3">
      <c r="A15" s="1"/>
      <c r="B15" s="90"/>
      <c r="C15" s="90"/>
      <c r="D15" s="90"/>
    </row>
    <row r="16" spans="1:6" x14ac:dyDescent="0.3">
      <c r="A16" s="1"/>
      <c r="B16" s="1"/>
      <c r="C16" s="1"/>
      <c r="D16" s="1"/>
    </row>
    <row r="17" spans="1:4" x14ac:dyDescent="0.3">
      <c r="A17" s="1"/>
      <c r="B17" s="1"/>
      <c r="C17" s="1"/>
      <c r="D17" s="1"/>
    </row>
    <row r="18" spans="1:4" x14ac:dyDescent="0.3">
      <c r="A18" s="1"/>
      <c r="B18" s="1"/>
      <c r="C18" s="1"/>
      <c r="D18" s="1"/>
    </row>
    <row r="19" spans="1:4" x14ac:dyDescent="0.3">
      <c r="A19" s="1"/>
      <c r="B19" s="1"/>
      <c r="C19" s="1"/>
      <c r="D19" s="1"/>
    </row>
    <row r="20" spans="1:4" x14ac:dyDescent="0.3">
      <c r="A20" s="1"/>
      <c r="B20" s="1"/>
      <c r="C20" s="1"/>
      <c r="D20" s="1"/>
    </row>
    <row r="21" spans="1:4" x14ac:dyDescent="0.3">
      <c r="A21" s="1"/>
      <c r="B21" s="1"/>
      <c r="C21" s="1"/>
      <c r="D21" s="1"/>
    </row>
    <row r="22" spans="1:4" x14ac:dyDescent="0.3">
      <c r="A22" s="1"/>
      <c r="B22" s="1"/>
      <c r="C22" s="1"/>
      <c r="D22" s="1"/>
    </row>
    <row r="23" spans="1:4" x14ac:dyDescent="0.3">
      <c r="A23" s="1"/>
      <c r="B23" s="1"/>
      <c r="C23" s="1"/>
      <c r="D23" s="1"/>
    </row>
    <row r="24" spans="1:4" x14ac:dyDescent="0.3">
      <c r="A24" s="1"/>
      <c r="B24" s="1"/>
      <c r="C24" s="1"/>
      <c r="D24" s="1"/>
    </row>
    <row r="25" spans="1:4" x14ac:dyDescent="0.3">
      <c r="A25" s="1"/>
      <c r="B25" s="1"/>
      <c r="C25" s="1"/>
      <c r="D25" s="1"/>
    </row>
    <row r="26" spans="1:4" x14ac:dyDescent="0.3">
      <c r="A26" s="1"/>
      <c r="B26" s="1"/>
      <c r="C26" s="1"/>
      <c r="D26" s="1"/>
    </row>
    <row r="27" spans="1:4" x14ac:dyDescent="0.3">
      <c r="A27" s="1"/>
      <c r="B27" s="1"/>
      <c r="C27" s="1"/>
      <c r="D27" s="1"/>
    </row>
    <row r="28" spans="1:4" x14ac:dyDescent="0.3">
      <c r="A28" s="1"/>
      <c r="C28" s="1"/>
      <c r="D28" s="1"/>
    </row>
    <row r="29" spans="1:4" x14ac:dyDescent="0.3">
      <c r="A29" s="1"/>
      <c r="C29" s="1"/>
      <c r="D29" s="1"/>
    </row>
    <row r="30" spans="1:4" x14ac:dyDescent="0.3">
      <c r="A30" s="1"/>
      <c r="C30" s="1"/>
      <c r="D30" s="1"/>
    </row>
    <row r="31" spans="1:4" x14ac:dyDescent="0.3">
      <c r="A31" s="1"/>
      <c r="C31" s="1"/>
      <c r="D31" s="1"/>
    </row>
    <row r="32" spans="1:4" x14ac:dyDescent="0.3">
      <c r="A32" s="1"/>
      <c r="C32" s="1"/>
      <c r="D32" s="1"/>
    </row>
    <row r="33" spans="1:4" x14ac:dyDescent="0.3">
      <c r="A33" s="1"/>
      <c r="D33" s="1"/>
    </row>
    <row r="34" spans="1:4" x14ac:dyDescent="0.3">
      <c r="A34" s="1"/>
      <c r="D34" s="1"/>
    </row>
    <row r="35" spans="1:4" x14ac:dyDescent="0.3">
      <c r="A35" s="1"/>
    </row>
  </sheetData>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21"/>
  <sheetViews>
    <sheetView topLeftCell="A6" zoomScale="150" zoomScaleNormal="150" zoomScalePageLayoutView="150" workbookViewId="0">
      <selection activeCell="C10" sqref="C10"/>
    </sheetView>
  </sheetViews>
  <sheetFormatPr defaultColWidth="11" defaultRowHeight="15.6" x14ac:dyDescent="0.3"/>
  <cols>
    <col min="1" max="1" width="50" customWidth="1"/>
    <col min="2" max="2" width="86.296875" customWidth="1"/>
  </cols>
  <sheetData>
    <row r="1" spans="1:3" x14ac:dyDescent="0.3">
      <c r="A1" s="95" t="s">
        <v>382</v>
      </c>
    </row>
    <row r="3" spans="1:3" x14ac:dyDescent="0.3">
      <c r="A3" s="96" t="s">
        <v>399</v>
      </c>
      <c r="B3" s="96" t="s">
        <v>400</v>
      </c>
      <c r="C3" s="96"/>
    </row>
    <row r="4" spans="1:3" s="92" customFormat="1" ht="96" customHeight="1" x14ac:dyDescent="0.3">
      <c r="A4" s="92" t="s">
        <v>401</v>
      </c>
      <c r="B4" s="92" t="s">
        <v>403</v>
      </c>
    </row>
    <row r="5" spans="1:3" s="92" customFormat="1" ht="41.4" x14ac:dyDescent="0.3">
      <c r="A5" s="92" t="s">
        <v>402</v>
      </c>
      <c r="B5" s="92" t="s">
        <v>404</v>
      </c>
    </row>
    <row r="6" spans="1:3" s="92" customFormat="1" ht="150" customHeight="1" x14ac:dyDescent="0.3">
      <c r="A6" s="92" t="s">
        <v>405</v>
      </c>
      <c r="B6" s="92" t="s">
        <v>406</v>
      </c>
    </row>
    <row r="7" spans="1:3" s="92" customFormat="1" ht="55.2" x14ac:dyDescent="0.3">
      <c r="A7" s="92" t="s">
        <v>407</v>
      </c>
      <c r="B7" s="92" t="s">
        <v>408</v>
      </c>
    </row>
    <row r="8" spans="1:3" s="92" customFormat="1" ht="83.25" customHeight="1" x14ac:dyDescent="0.3">
      <c r="A8" s="92" t="s">
        <v>409</v>
      </c>
      <c r="B8" s="91" t="s">
        <v>410</v>
      </c>
    </row>
    <row r="9" spans="1:3" s="92" customFormat="1" ht="124.2" x14ac:dyDescent="0.3">
      <c r="A9" s="101" t="s">
        <v>421</v>
      </c>
      <c r="B9" s="101" t="s">
        <v>422</v>
      </c>
    </row>
    <row r="10" spans="1:3" s="92" customFormat="1" ht="41.4" x14ac:dyDescent="0.3">
      <c r="A10" s="102" t="s">
        <v>428</v>
      </c>
      <c r="B10" s="102" t="s">
        <v>429</v>
      </c>
    </row>
    <row r="11" spans="1:3" s="92" customFormat="1" ht="13.8" x14ac:dyDescent="0.3"/>
    <row r="12" spans="1:3" s="92" customFormat="1" ht="13.8" x14ac:dyDescent="0.3"/>
    <row r="13" spans="1:3" s="92" customFormat="1" ht="13.8" x14ac:dyDescent="0.3"/>
    <row r="14" spans="1:3" s="92" customFormat="1" ht="13.8" x14ac:dyDescent="0.3"/>
    <row r="15" spans="1:3" s="92" customFormat="1" ht="13.8" x14ac:dyDescent="0.3"/>
    <row r="16" spans="1:3" s="92" customFormat="1" ht="13.8" x14ac:dyDescent="0.3"/>
    <row r="17" s="92" customFormat="1" ht="13.8" x14ac:dyDescent="0.3"/>
    <row r="18" s="92" customFormat="1" ht="13.8" x14ac:dyDescent="0.3"/>
    <row r="19" s="92" customFormat="1" ht="13.8" x14ac:dyDescent="0.3"/>
    <row r="20" s="92" customFormat="1" ht="13.8" x14ac:dyDescent="0.3"/>
    <row r="21" s="90" customFormat="1" x14ac:dyDescent="0.3"/>
  </sheetData>
  <pageMargins left="0.75" right="0.75" top="1" bottom="1" header="0.5" footer="0.5"/>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7"/>
  <sheetViews>
    <sheetView topLeftCell="I1" zoomScale="150" zoomScaleNormal="150" zoomScalePageLayoutView="150" workbookViewId="0">
      <selection activeCell="I14" sqref="I14"/>
    </sheetView>
  </sheetViews>
  <sheetFormatPr defaultColWidth="11" defaultRowHeight="15.6" x14ac:dyDescent="0.3"/>
  <cols>
    <col min="1" max="1" width="48.19921875" customWidth="1"/>
    <col min="2" max="2" width="17" customWidth="1"/>
    <col min="3" max="3" width="36.19921875" customWidth="1"/>
    <col min="4" max="4" width="16.69921875" customWidth="1"/>
    <col min="5" max="5" width="19.5" customWidth="1"/>
    <col min="6" max="6" width="22" customWidth="1"/>
    <col min="7" max="7" width="21.69921875" customWidth="1"/>
    <col min="8" max="8" width="38.19921875" customWidth="1"/>
    <col min="9" max="9" width="22.5" customWidth="1"/>
    <col min="10" max="10" width="32.19921875" customWidth="1"/>
    <col min="11" max="11" width="29.5" customWidth="1"/>
    <col min="12" max="12" width="32.19921875" customWidth="1"/>
  </cols>
  <sheetData>
    <row r="1" spans="1:12" ht="21" x14ac:dyDescent="0.4">
      <c r="A1" s="17" t="s">
        <v>126</v>
      </c>
      <c r="E1" s="17" t="s">
        <v>268</v>
      </c>
      <c r="J1" s="17" t="s">
        <v>323</v>
      </c>
    </row>
    <row r="2" spans="1:12" ht="31.95" customHeight="1" x14ac:dyDescent="0.3">
      <c r="A2" s="81" t="s">
        <v>249</v>
      </c>
      <c r="B2" s="82"/>
      <c r="C2" s="83"/>
      <c r="E2" s="116" t="s">
        <v>276</v>
      </c>
      <c r="F2" s="117"/>
      <c r="G2" s="117"/>
      <c r="H2" s="118"/>
    </row>
    <row r="3" spans="1:12" x14ac:dyDescent="0.3">
      <c r="A3" s="84"/>
      <c r="B3" s="85"/>
      <c r="C3" s="86"/>
      <c r="E3" s="84"/>
      <c r="F3" s="85"/>
      <c r="G3" s="85"/>
      <c r="H3" s="86"/>
    </row>
    <row r="4" spans="1:12" x14ac:dyDescent="0.3">
      <c r="A4" s="84"/>
      <c r="B4" s="85"/>
      <c r="C4" s="86"/>
      <c r="E4" s="84"/>
      <c r="F4" s="85"/>
      <c r="G4" s="85"/>
      <c r="H4" s="86"/>
    </row>
    <row r="5" spans="1:12" ht="31.2" x14ac:dyDescent="0.3">
      <c r="A5" s="87" t="s">
        <v>266</v>
      </c>
      <c r="B5" s="88" t="s">
        <v>16</v>
      </c>
      <c r="C5" s="89" t="s">
        <v>4</v>
      </c>
      <c r="E5" s="87" t="s">
        <v>269</v>
      </c>
      <c r="F5" s="88"/>
      <c r="G5" s="88" t="s">
        <v>16</v>
      </c>
      <c r="H5" s="89" t="s">
        <v>4</v>
      </c>
      <c r="J5" s="35" t="s">
        <v>324</v>
      </c>
      <c r="K5" s="35" t="s">
        <v>325</v>
      </c>
      <c r="L5" s="35" t="s">
        <v>4</v>
      </c>
    </row>
    <row r="6" spans="1:12" ht="37.049999999999997" customHeight="1" x14ac:dyDescent="0.3">
      <c r="A6" s="18" t="s">
        <v>17</v>
      </c>
      <c r="B6" s="19">
        <v>20000</v>
      </c>
      <c r="C6" s="20"/>
      <c r="E6" s="113" t="s">
        <v>274</v>
      </c>
      <c r="F6" s="113"/>
      <c r="G6" s="40">
        <v>2</v>
      </c>
      <c r="H6" s="41" t="s">
        <v>270</v>
      </c>
      <c r="J6" s="70" t="s">
        <v>376</v>
      </c>
      <c r="K6" s="71">
        <v>0.5</v>
      </c>
      <c r="L6" s="70" t="s">
        <v>377</v>
      </c>
    </row>
    <row r="7" spans="1:12" ht="36" customHeight="1" x14ac:dyDescent="0.3">
      <c r="A7" s="18" t="s">
        <v>23</v>
      </c>
      <c r="B7" s="20">
        <v>83</v>
      </c>
      <c r="C7" s="18" t="s">
        <v>59</v>
      </c>
      <c r="E7" s="113" t="s">
        <v>275</v>
      </c>
      <c r="F7" s="113"/>
      <c r="G7" s="40">
        <v>5</v>
      </c>
      <c r="H7" s="41" t="s">
        <v>271</v>
      </c>
    </row>
    <row r="8" spans="1:12" ht="43.05" customHeight="1" x14ac:dyDescent="0.3">
      <c r="A8" s="18" t="s">
        <v>342</v>
      </c>
      <c r="B8" s="18">
        <v>40</v>
      </c>
      <c r="C8" s="18" t="s">
        <v>22</v>
      </c>
      <c r="E8" s="114" t="s">
        <v>272</v>
      </c>
      <c r="F8" s="115"/>
      <c r="G8" s="40">
        <v>20</v>
      </c>
      <c r="H8" s="41" t="s">
        <v>273</v>
      </c>
    </row>
    <row r="9" spans="1:12" x14ac:dyDescent="0.3">
      <c r="A9" s="1"/>
      <c r="E9" s="42"/>
      <c r="F9" s="42"/>
      <c r="G9" s="42"/>
      <c r="H9" s="43"/>
    </row>
    <row r="10" spans="1:12" ht="40.049999999999997" customHeight="1" x14ac:dyDescent="0.4">
      <c r="A10" s="108" t="s">
        <v>136</v>
      </c>
      <c r="B10" s="108"/>
      <c r="C10" s="108"/>
    </row>
    <row r="11" spans="1:12" ht="15" customHeight="1" x14ac:dyDescent="0.4">
      <c r="A11" s="22"/>
      <c r="B11" s="22"/>
      <c r="C11" s="22"/>
    </row>
    <row r="12" spans="1:12" ht="46.8" x14ac:dyDescent="0.3">
      <c r="A12" s="1"/>
      <c r="C12" s="44" t="s">
        <v>279</v>
      </c>
      <c r="D12" s="45" t="s">
        <v>278</v>
      </c>
      <c r="E12" s="52" t="s">
        <v>365</v>
      </c>
      <c r="F12" s="53" t="s">
        <v>280</v>
      </c>
      <c r="G12" s="46" t="s">
        <v>281</v>
      </c>
      <c r="H12" s="54" t="s">
        <v>282</v>
      </c>
      <c r="I12" s="46" t="s">
        <v>124</v>
      </c>
      <c r="J12" s="46" t="s">
        <v>359</v>
      </c>
      <c r="K12" s="75" t="s">
        <v>360</v>
      </c>
    </row>
    <row r="13" spans="1:12" x14ac:dyDescent="0.3">
      <c r="A13" s="7" t="s">
        <v>366</v>
      </c>
      <c r="C13" s="47"/>
      <c r="D13" s="39"/>
      <c r="E13" s="47"/>
      <c r="F13" s="38"/>
      <c r="G13" s="47"/>
      <c r="H13" s="38"/>
      <c r="I13" s="47"/>
      <c r="J13" s="47"/>
      <c r="K13" s="76"/>
    </row>
    <row r="14" spans="1:12" x14ac:dyDescent="0.3">
      <c r="A14" s="6" t="s">
        <v>250</v>
      </c>
      <c r="C14" s="48">
        <f>'Baseline heat &amp; power'!B34</f>
        <v>98085913.043478251</v>
      </c>
      <c r="D14" s="49">
        <f>'Baseline heat &amp; power'!C34</f>
        <v>74545293.913043484</v>
      </c>
      <c r="E14" s="48">
        <f>'Baseline heat &amp; power'!B33</f>
        <v>27530530.434782609</v>
      </c>
      <c r="F14" s="49">
        <f>'Baseline heat &amp; power'!C33</f>
        <v>21583935.860869568</v>
      </c>
      <c r="G14" s="48">
        <f t="shared" ref="G14:H16" si="0">C14+E14</f>
        <v>125616443.47826086</v>
      </c>
      <c r="H14" s="49">
        <f t="shared" si="0"/>
        <v>96129229.773913056</v>
      </c>
      <c r="I14" s="48">
        <f>'Baseline car use'!B37+'Baseline car use'!B38+'Baseline car use'!F37</f>
        <v>95930576.015027761</v>
      </c>
      <c r="J14" s="48">
        <f>C14+E14+I14</f>
        <v>221547019.49328864</v>
      </c>
      <c r="K14" s="77">
        <f>H14+I14</f>
        <v>192059805.78894082</v>
      </c>
    </row>
    <row r="15" spans="1:12" x14ac:dyDescent="0.3">
      <c r="A15" s="6" t="s">
        <v>127</v>
      </c>
      <c r="C15" s="48">
        <f>'Baseline heat &amp; power'!B38</f>
        <v>11279.879999999997</v>
      </c>
      <c r="D15" s="49">
        <f>'Baseline heat &amp; power'!C38</f>
        <v>8572.7088000000003</v>
      </c>
      <c r="E15" s="48">
        <f>'Baseline heat &amp; power'!B37</f>
        <v>3166.011</v>
      </c>
      <c r="F15" s="49">
        <f>'Baseline heat &amp; power'!C37</f>
        <v>2482.1526240000003</v>
      </c>
      <c r="G15" s="48">
        <f t="shared" si="0"/>
        <v>14445.890999999998</v>
      </c>
      <c r="H15" s="49">
        <f t="shared" si="0"/>
        <v>11054.861424000001</v>
      </c>
      <c r="I15" s="48">
        <f>'Baseline car use'!B47</f>
        <v>11032.016241728192</v>
      </c>
      <c r="J15" s="48">
        <f>C15+E15+I15</f>
        <v>25477.90724172819</v>
      </c>
      <c r="K15" s="77">
        <f t="shared" ref="K15:K16" si="1">H15+I15</f>
        <v>22086.877665728192</v>
      </c>
    </row>
    <row r="16" spans="1:12" x14ac:dyDescent="0.3">
      <c r="A16" s="6" t="s">
        <v>128</v>
      </c>
      <c r="C16" s="48">
        <f>'Baseline heat &amp; power'!B42</f>
        <v>4904.2956521739125</v>
      </c>
      <c r="D16" s="49">
        <f>'Baseline heat &amp; power'!C42</f>
        <v>3727.2646956521744</v>
      </c>
      <c r="E16" s="48">
        <f>'Baseline heat &amp; power'!B41</f>
        <v>1376.5265217391304</v>
      </c>
      <c r="F16" s="49">
        <f>'Baseline heat &amp; power'!C41</f>
        <v>1079.1967930434785</v>
      </c>
      <c r="G16" s="48">
        <f t="shared" si="0"/>
        <v>6280.8221739130431</v>
      </c>
      <c r="H16" s="49">
        <f t="shared" si="0"/>
        <v>4806.4614886956533</v>
      </c>
      <c r="I16" s="50">
        <f>'Baseline car use'!B48*365.25</f>
        <v>4796.5288007513882</v>
      </c>
      <c r="J16" s="48">
        <f>C16+E16+I16</f>
        <v>11077.35097466443</v>
      </c>
      <c r="K16" s="77">
        <f t="shared" si="1"/>
        <v>9602.9902894470415</v>
      </c>
    </row>
    <row r="17" spans="1:11" x14ac:dyDescent="0.3">
      <c r="A17" s="1"/>
      <c r="C17" s="47"/>
      <c r="D17" s="39"/>
      <c r="E17" s="47"/>
      <c r="F17" s="38"/>
      <c r="G17" s="47"/>
      <c r="H17" s="38"/>
      <c r="I17" s="47"/>
      <c r="J17" s="47"/>
      <c r="K17" s="76"/>
    </row>
    <row r="18" spans="1:11" x14ac:dyDescent="0.3">
      <c r="A18" s="7" t="s">
        <v>129</v>
      </c>
      <c r="C18" s="47"/>
      <c r="D18" s="39"/>
      <c r="E18" s="47"/>
      <c r="F18" s="38"/>
      <c r="G18" s="47"/>
      <c r="H18" s="38"/>
      <c r="I18" s="47"/>
      <c r="J18" s="47"/>
      <c r="K18" s="76"/>
    </row>
    <row r="19" spans="1:11" x14ac:dyDescent="0.3">
      <c r="A19" s="6" t="s">
        <v>251</v>
      </c>
      <c r="B19" s="3"/>
      <c r="C19" s="48">
        <f t="shared" ref="C19:D21" si="2">C14/365.25</f>
        <v>268544.59423265775</v>
      </c>
      <c r="D19" s="49">
        <f t="shared" si="2"/>
        <v>204093.89161681995</v>
      </c>
      <c r="E19" s="48">
        <f t="shared" ref="E19" si="3">E14/365.25</f>
        <v>75374.484421033834</v>
      </c>
      <c r="F19" s="49">
        <f t="shared" ref="F19" si="4">F14/365.25</f>
        <v>59093.595786090533</v>
      </c>
      <c r="G19" s="48">
        <f t="shared" ref="G19:J21" si="5">G14/365.25</f>
        <v>343919.07865369163</v>
      </c>
      <c r="H19" s="49">
        <f t="shared" si="5"/>
        <v>263187.48740291048</v>
      </c>
      <c r="I19" s="48">
        <f t="shared" si="5"/>
        <v>262643.60305277962</v>
      </c>
      <c r="J19" s="48">
        <f t="shared" si="5"/>
        <v>606562.68170647125</v>
      </c>
      <c r="K19" s="77">
        <f>H19+I19</f>
        <v>525831.09045569017</v>
      </c>
    </row>
    <row r="20" spans="1:11" x14ac:dyDescent="0.3">
      <c r="A20" s="6" t="s">
        <v>130</v>
      </c>
      <c r="B20" s="3"/>
      <c r="C20" s="50">
        <f t="shared" si="2"/>
        <v>30.882628336755641</v>
      </c>
      <c r="D20" s="51">
        <f t="shared" si="2"/>
        <v>23.470797535934292</v>
      </c>
      <c r="E20" s="50">
        <f t="shared" ref="E20" si="6">E15/365.25</f>
        <v>8.6680657084188919</v>
      </c>
      <c r="F20" s="51">
        <f t="shared" ref="F20" si="7">F15/365.25</f>
        <v>6.7957635154004112</v>
      </c>
      <c r="G20" s="50">
        <f t="shared" si="5"/>
        <v>39.550694045174531</v>
      </c>
      <c r="H20" s="51">
        <f t="shared" si="5"/>
        <v>30.266561051334705</v>
      </c>
      <c r="I20" s="50">
        <f t="shared" si="5"/>
        <v>30.204014351069656</v>
      </c>
      <c r="J20" s="50">
        <f t="shared" si="5"/>
        <v>69.754708396244183</v>
      </c>
      <c r="K20" s="77">
        <f t="shared" ref="K20:K21" si="8">H20+I20</f>
        <v>60.470575402404364</v>
      </c>
    </row>
    <row r="21" spans="1:11" x14ac:dyDescent="0.3">
      <c r="A21" s="6" t="s">
        <v>131</v>
      </c>
      <c r="B21" s="3"/>
      <c r="C21" s="50">
        <f t="shared" si="2"/>
        <v>13.427229711632888</v>
      </c>
      <c r="D21" s="51">
        <f t="shared" si="2"/>
        <v>10.204694580840998</v>
      </c>
      <c r="E21" s="50">
        <f t="shared" ref="E21" si="9">E16/365.25</f>
        <v>3.7687242210516918</v>
      </c>
      <c r="F21" s="51">
        <f t="shared" ref="F21" si="10">F16/365.25</f>
        <v>2.9546797893045271</v>
      </c>
      <c r="G21" s="50">
        <f t="shared" si="5"/>
        <v>17.195953932684581</v>
      </c>
      <c r="H21" s="51">
        <f t="shared" si="5"/>
        <v>13.159374370145526</v>
      </c>
      <c r="I21" s="50">
        <f t="shared" si="5"/>
        <v>13.132180152638982</v>
      </c>
      <c r="J21" s="50">
        <f t="shared" si="5"/>
        <v>30.328134085323562</v>
      </c>
      <c r="K21" s="77">
        <f t="shared" si="8"/>
        <v>26.291554522784509</v>
      </c>
    </row>
    <row r="22" spans="1:11" x14ac:dyDescent="0.3">
      <c r="A22" s="1"/>
      <c r="C22" s="47"/>
      <c r="D22" s="39"/>
      <c r="E22" s="47"/>
      <c r="F22" s="38"/>
      <c r="G22" s="47"/>
      <c r="H22" s="38"/>
      <c r="I22" s="47"/>
      <c r="J22" s="47"/>
      <c r="K22" s="76"/>
    </row>
    <row r="23" spans="1:11" x14ac:dyDescent="0.3">
      <c r="A23" s="7" t="s">
        <v>374</v>
      </c>
      <c r="C23" s="47"/>
      <c r="D23" s="39"/>
      <c r="E23" s="47"/>
      <c r="F23" s="38"/>
      <c r="G23" s="47"/>
      <c r="H23" s="38"/>
      <c r="I23" s="47"/>
      <c r="J23" s="47"/>
      <c r="K23" s="76"/>
    </row>
    <row r="24" spans="1:11" x14ac:dyDescent="0.3">
      <c r="A24" s="6" t="s">
        <v>264</v>
      </c>
      <c r="C24" s="48">
        <f>'Baseline heat &amp; power'!B57</f>
        <v>18928195.96069565</v>
      </c>
      <c r="D24" s="49">
        <f>'Baseline heat &amp; power'!C57</f>
        <v>14385428.930128694</v>
      </c>
      <c r="E24" s="48">
        <f>'Baseline heat &amp; power'!B56</f>
        <v>9678633.2796521746</v>
      </c>
      <c r="F24" s="49">
        <f>'Baseline heat &amp; power'!C56</f>
        <v>7588048.4912473047</v>
      </c>
      <c r="G24" s="48">
        <f>C24+E24</f>
        <v>28606829.240347825</v>
      </c>
      <c r="H24" s="49">
        <f>D24+F24</f>
        <v>21973477.421375997</v>
      </c>
      <c r="I24" s="48">
        <f>'Baseline car use'!B44+'Baseline car use'!B45+'Baseline car use'!F44</f>
        <v>22974174.539156467</v>
      </c>
      <c r="J24" s="48">
        <f>C24+E24+I24</f>
        <v>51581003.779504292</v>
      </c>
      <c r="K24" s="77">
        <f>H24+I24</f>
        <v>44947651.960532464</v>
      </c>
    </row>
    <row r="25" spans="1:11" x14ac:dyDescent="0.3">
      <c r="A25" s="6" t="s">
        <v>132</v>
      </c>
      <c r="C25" s="48">
        <f>C24/'Baseline heat &amp; power'!$B$3</f>
        <v>2176.7425354799998</v>
      </c>
      <c r="D25" s="49">
        <f>D24/'Baseline heat &amp; power'!$B$3</f>
        <v>1654.3243269647996</v>
      </c>
      <c r="E25" s="48">
        <f>E24/'Baseline heat &amp; power'!$B$3</f>
        <v>1113.0428271600001</v>
      </c>
      <c r="F25" s="49">
        <f>F24/'Baseline heat &amp; power'!$B$3</f>
        <v>872.62557649344001</v>
      </c>
      <c r="G25" s="48">
        <f>G24/'Baseline heat &amp; power'!$B$3</f>
        <v>3289.7853626399997</v>
      </c>
      <c r="H25" s="49">
        <f>H24/'Baseline heat &amp; power'!$B$3</f>
        <v>2526.9499034582395</v>
      </c>
      <c r="I25" s="48">
        <f>I24/'Baseline heat &amp; power'!$B$3</f>
        <v>2642.0300720029936</v>
      </c>
      <c r="J25" s="48">
        <f>J24/'Baseline heat &amp; power'!$B$3</f>
        <v>5931.8154346429928</v>
      </c>
      <c r="K25" s="77">
        <f t="shared" ref="K25:K26" si="11">H25+I25</f>
        <v>5168.9799754612332</v>
      </c>
    </row>
    <row r="26" spans="1:11" x14ac:dyDescent="0.3">
      <c r="A26" s="6" t="s">
        <v>133</v>
      </c>
      <c r="C26" s="48">
        <f>C24/'Baseline heat &amp; power'!$B$2</f>
        <v>946.40979803478251</v>
      </c>
      <c r="D26" s="49">
        <f>D24/'Baseline heat &amp; power'!$B$2</f>
        <v>719.2714465064347</v>
      </c>
      <c r="E26" s="48">
        <f>E24/'Baseline heat &amp; power'!$B$2</f>
        <v>483.93166398260871</v>
      </c>
      <c r="F26" s="49">
        <f>F24/'Baseline heat &amp; power'!$B$2</f>
        <v>379.40242456236524</v>
      </c>
      <c r="G26" s="48">
        <f>G24/'Baseline heat &amp; power'!$B$2</f>
        <v>1430.3414620173912</v>
      </c>
      <c r="H26" s="49">
        <f>H24/'Baseline heat &amp; power'!$B$2</f>
        <v>1098.6738710687998</v>
      </c>
      <c r="I26" s="48">
        <f>I24/'Baseline heat &amp; power'!$B$2</f>
        <v>1148.7087269578233</v>
      </c>
      <c r="J26" s="48">
        <f>J24/'Baseline heat &amp; power'!$B$2</f>
        <v>2579.0501889752145</v>
      </c>
      <c r="K26" s="77">
        <f t="shared" si="11"/>
        <v>2247.3825980266229</v>
      </c>
    </row>
    <row r="27" spans="1:11" x14ac:dyDescent="0.3">
      <c r="C27" s="47"/>
      <c r="D27" s="39"/>
      <c r="E27" s="47"/>
      <c r="F27" s="38"/>
      <c r="G27" s="47"/>
      <c r="H27" s="38"/>
      <c r="I27" s="47"/>
      <c r="J27" s="47"/>
      <c r="K27" s="76"/>
    </row>
    <row r="28" spans="1:11" x14ac:dyDescent="0.3">
      <c r="A28" s="7" t="s">
        <v>125</v>
      </c>
      <c r="C28" s="47"/>
      <c r="D28" s="39"/>
      <c r="E28" s="47"/>
      <c r="F28" s="38"/>
      <c r="G28" s="47"/>
      <c r="H28" s="38"/>
      <c r="I28" s="47"/>
      <c r="J28" s="47"/>
      <c r="K28" s="76"/>
    </row>
    <row r="29" spans="1:11" x14ac:dyDescent="0.3">
      <c r="A29" s="6" t="s">
        <v>265</v>
      </c>
      <c r="C29" s="48">
        <f t="shared" ref="C29:D31" si="12">C24/365.25</f>
        <v>51822.576209981249</v>
      </c>
      <c r="D29" s="49">
        <f t="shared" si="12"/>
        <v>39385.157919585748</v>
      </c>
      <c r="E29" s="48">
        <f t="shared" ref="E29" si="13">E24/365.25</f>
        <v>26498.653743058658</v>
      </c>
      <c r="F29" s="49">
        <f t="shared" ref="F29" si="14">F24/365.25</f>
        <v>20774.944534557988</v>
      </c>
      <c r="G29" s="48">
        <f t="shared" ref="G29:J31" si="15">G24/365.25</f>
        <v>78321.229953039903</v>
      </c>
      <c r="H29" s="49">
        <f t="shared" si="15"/>
        <v>60160.102454143729</v>
      </c>
      <c r="I29" s="48">
        <f t="shared" si="15"/>
        <v>62899.861845739812</v>
      </c>
      <c r="J29" s="48">
        <f t="shared" si="15"/>
        <v>141221.09179877973</v>
      </c>
      <c r="K29" s="77">
        <f>H29+I29</f>
        <v>123059.96429988355</v>
      </c>
    </row>
    <row r="30" spans="1:11" x14ac:dyDescent="0.3">
      <c r="A30" s="6" t="s">
        <v>134</v>
      </c>
      <c r="C30" s="48">
        <f t="shared" si="12"/>
        <v>5.9595962641478435</v>
      </c>
      <c r="D30" s="49">
        <f t="shared" si="12"/>
        <v>4.5292931607523608</v>
      </c>
      <c r="E30" s="48">
        <f t="shared" ref="E30" si="16">E25/365.25</f>
        <v>3.0473451804517455</v>
      </c>
      <c r="F30" s="49">
        <f t="shared" ref="F30" si="17">F25/365.25</f>
        <v>2.3891186214741684</v>
      </c>
      <c r="G30" s="48">
        <f t="shared" si="15"/>
        <v>9.0069414445995886</v>
      </c>
      <c r="H30" s="49">
        <f t="shared" si="15"/>
        <v>6.9184117822265288</v>
      </c>
      <c r="I30" s="48">
        <f t="shared" si="15"/>
        <v>7.2334841122600784</v>
      </c>
      <c r="J30" s="48">
        <f t="shared" si="15"/>
        <v>16.240425556859666</v>
      </c>
      <c r="K30" s="77">
        <f t="shared" ref="K30:K31" si="18">H30+I30</f>
        <v>14.151895894486607</v>
      </c>
    </row>
    <row r="31" spans="1:11" x14ac:dyDescent="0.3">
      <c r="A31" s="6" t="s">
        <v>135</v>
      </c>
      <c r="C31" s="79">
        <f t="shared" si="12"/>
        <v>2.5911288104990624</v>
      </c>
      <c r="D31" s="61">
        <f t="shared" si="12"/>
        <v>1.9692578959792872</v>
      </c>
      <c r="E31" s="79">
        <f t="shared" ref="E31" si="19">E26/365.25</f>
        <v>1.3249326871529328</v>
      </c>
      <c r="F31" s="61">
        <f t="shared" ref="F31" si="20">F26/365.25</f>
        <v>1.0387472267278994</v>
      </c>
      <c r="G31" s="79">
        <f t="shared" si="15"/>
        <v>3.9160614976519952</v>
      </c>
      <c r="H31" s="61">
        <f t="shared" si="15"/>
        <v>3.0080051227071865</v>
      </c>
      <c r="I31" s="79">
        <f t="shared" si="15"/>
        <v>3.1449930922869904</v>
      </c>
      <c r="J31" s="48">
        <f t="shared" si="15"/>
        <v>7.061054589938986</v>
      </c>
      <c r="K31" s="77">
        <f t="shared" si="18"/>
        <v>6.1529982149941773</v>
      </c>
    </row>
    <row r="32" spans="1:11" x14ac:dyDescent="0.3">
      <c r="A32" s="37"/>
      <c r="C32" s="72"/>
      <c r="D32" s="80"/>
      <c r="E32" s="80"/>
      <c r="F32" s="80"/>
      <c r="G32" s="80"/>
      <c r="H32" s="80"/>
      <c r="I32" s="72"/>
      <c r="J32" s="72"/>
    </row>
    <row r="33" spans="1:10" x14ac:dyDescent="0.3">
      <c r="A33" s="37"/>
      <c r="C33" s="72"/>
      <c r="D33" s="80"/>
      <c r="E33" s="80"/>
      <c r="F33" s="80"/>
      <c r="G33" s="80"/>
      <c r="H33" s="80"/>
      <c r="I33" s="72"/>
      <c r="J33" s="72"/>
    </row>
    <row r="34" spans="1:10" ht="21" x14ac:dyDescent="0.4">
      <c r="A34" s="73" t="s">
        <v>350</v>
      </c>
      <c r="H34" s="13" t="s">
        <v>4</v>
      </c>
    </row>
    <row r="35" spans="1:10" s="3" customFormat="1" ht="27.6" x14ac:dyDescent="0.3">
      <c r="A35" s="37" t="s">
        <v>352</v>
      </c>
      <c r="B35" s="66">
        <f>J14</f>
        <v>221547019.49328864</v>
      </c>
      <c r="C35" s="37" t="s">
        <v>351</v>
      </c>
      <c r="D35" s="74">
        <f>'Years to zero carbon'!B10</f>
        <v>38.146632046785776</v>
      </c>
      <c r="E35" s="3" t="s">
        <v>348</v>
      </c>
      <c r="F35" s="13">
        <f>B8</f>
        <v>40</v>
      </c>
      <c r="G35" s="3" t="s">
        <v>349</v>
      </c>
      <c r="H35" s="37" t="s">
        <v>353</v>
      </c>
    </row>
    <row r="36" spans="1:10" s="3" customFormat="1" ht="13.8" x14ac:dyDescent="0.3">
      <c r="A36" s="37"/>
      <c r="B36" s="66"/>
      <c r="C36" s="37"/>
      <c r="D36" s="74"/>
      <c r="F36" s="13"/>
      <c r="H36" s="37"/>
    </row>
    <row r="37" spans="1:10" s="3" customFormat="1" ht="13.8" x14ac:dyDescent="0.3">
      <c r="A37" s="37"/>
      <c r="B37" s="66"/>
      <c r="C37" s="37"/>
      <c r="D37" s="74"/>
      <c r="F37" s="13"/>
    </row>
    <row r="38" spans="1:10" s="3" customFormat="1" ht="13.8" x14ac:dyDescent="0.3">
      <c r="A38" s="37"/>
      <c r="B38" s="66"/>
      <c r="C38" s="37"/>
      <c r="D38" s="74"/>
      <c r="F38" s="13"/>
    </row>
    <row r="39" spans="1:10" ht="42" customHeight="1" x14ac:dyDescent="0.3">
      <c r="A39" s="109" t="s">
        <v>236</v>
      </c>
      <c r="B39" s="109"/>
      <c r="C39" s="109"/>
      <c r="D39" s="109"/>
    </row>
    <row r="40" spans="1:10" ht="16.95" customHeight="1" x14ac:dyDescent="0.3">
      <c r="A40" s="24"/>
      <c r="B40" s="24"/>
      <c r="C40" s="24"/>
      <c r="D40" s="24"/>
    </row>
    <row r="41" spans="1:10" x14ac:dyDescent="0.3">
      <c r="A41" s="27" t="s">
        <v>192</v>
      </c>
      <c r="D41" s="32"/>
      <c r="E41" s="32"/>
      <c r="F41" s="32"/>
    </row>
    <row r="42" spans="1:10" x14ac:dyDescent="0.3">
      <c r="A42" s="27"/>
      <c r="D42" s="29"/>
      <c r="E42" s="29"/>
      <c r="F42" s="29"/>
    </row>
    <row r="43" spans="1:10" x14ac:dyDescent="0.3">
      <c r="A43" s="26" t="s">
        <v>253</v>
      </c>
      <c r="B43" s="13" t="s">
        <v>283</v>
      </c>
      <c r="D43" s="59" t="s">
        <v>284</v>
      </c>
      <c r="E43" s="29"/>
      <c r="F43" s="98" t="s">
        <v>238</v>
      </c>
      <c r="G43" s="13"/>
    </row>
    <row r="44" spans="1:10" ht="82.8" x14ac:dyDescent="0.3">
      <c r="A44" s="15" t="s">
        <v>237</v>
      </c>
      <c r="B44" s="5">
        <f>'Renewable power'!B27</f>
        <v>105.07534560050486</v>
      </c>
      <c r="C44" s="15" t="s">
        <v>294</v>
      </c>
      <c r="D44" s="41" t="s">
        <v>242</v>
      </c>
      <c r="E44" s="51">
        <f>'Renewable power'!C27</f>
        <v>134.02467551084803</v>
      </c>
      <c r="F44" s="41" t="s">
        <v>295</v>
      </c>
    </row>
    <row r="45" spans="1:10" x14ac:dyDescent="0.3">
      <c r="A45" s="15"/>
      <c r="B45" s="5"/>
      <c r="C45" s="15"/>
      <c r="D45" s="41"/>
      <c r="E45" s="39"/>
      <c r="F45" s="39"/>
    </row>
    <row r="46" spans="1:10" x14ac:dyDescent="0.3">
      <c r="A46" s="14" t="s">
        <v>254</v>
      </c>
      <c r="B46" s="15"/>
      <c r="C46" s="15"/>
      <c r="D46" s="41"/>
      <c r="E46" s="39"/>
      <c r="F46" s="39"/>
    </row>
    <row r="47" spans="1:10" ht="41.4" x14ac:dyDescent="0.3">
      <c r="A47" s="15" t="s">
        <v>252</v>
      </c>
      <c r="B47" s="5">
        <f>'Renewable power'!B40</f>
        <v>74.974211423699913</v>
      </c>
      <c r="C47" s="15" t="s">
        <v>287</v>
      </c>
      <c r="D47" s="41" t="s">
        <v>288</v>
      </c>
      <c r="E47" s="51">
        <f>'Renewable power'!C40</f>
        <v>58.779781756180732</v>
      </c>
      <c r="F47" s="41" t="s">
        <v>289</v>
      </c>
    </row>
    <row r="48" spans="1:10" x14ac:dyDescent="0.3">
      <c r="A48" s="15"/>
      <c r="B48" s="5"/>
      <c r="C48" s="15"/>
      <c r="D48" s="41"/>
      <c r="E48" s="39"/>
      <c r="F48" s="39"/>
    </row>
    <row r="49" spans="1:14" x14ac:dyDescent="0.3">
      <c r="A49" s="14" t="s">
        <v>255</v>
      </c>
      <c r="B49" s="15"/>
      <c r="C49" s="15"/>
      <c r="D49" s="41"/>
      <c r="E49" s="39"/>
      <c r="F49" s="39"/>
    </row>
    <row r="50" spans="1:14" x14ac:dyDescent="0.3">
      <c r="A50" s="15" t="s">
        <v>239</v>
      </c>
      <c r="B50" s="57">
        <f>'Renewable power'!B51</f>
        <v>4.5884217391304345</v>
      </c>
      <c r="C50" s="110" t="s">
        <v>290</v>
      </c>
      <c r="D50" s="41" t="s">
        <v>291</v>
      </c>
      <c r="E50" s="60">
        <f>'Renewable power'!C51</f>
        <v>3.5973226434782615</v>
      </c>
      <c r="F50" s="112" t="s">
        <v>292</v>
      </c>
    </row>
    <row r="51" spans="1:14" ht="42" customHeight="1" x14ac:dyDescent="0.3">
      <c r="A51" s="15" t="s">
        <v>240</v>
      </c>
      <c r="B51" s="57">
        <f>'Renewable power'!B56</f>
        <v>5.7971014492753623</v>
      </c>
      <c r="C51" s="110"/>
      <c r="D51" s="41" t="s">
        <v>293</v>
      </c>
      <c r="E51" s="61">
        <f>B51</f>
        <v>5.7971014492753623</v>
      </c>
      <c r="F51" s="112"/>
    </row>
    <row r="52" spans="1:14" x14ac:dyDescent="0.3">
      <c r="A52" s="15"/>
      <c r="B52" s="15"/>
      <c r="C52" s="15"/>
      <c r="D52" s="15"/>
    </row>
    <row r="53" spans="1:14" x14ac:dyDescent="0.3">
      <c r="A53" s="16" t="s">
        <v>193</v>
      </c>
      <c r="B53" s="15"/>
      <c r="C53" s="15"/>
      <c r="D53" s="15"/>
    </row>
    <row r="54" spans="1:14" x14ac:dyDescent="0.3">
      <c r="A54" s="16"/>
      <c r="B54" s="15"/>
      <c r="C54" s="15"/>
      <c r="D54" s="15"/>
    </row>
    <row r="55" spans="1:14" x14ac:dyDescent="0.3">
      <c r="A55" s="14" t="s">
        <v>243</v>
      </c>
      <c r="B55" s="15"/>
      <c r="C55" s="15"/>
      <c r="D55" s="15"/>
    </row>
    <row r="56" spans="1:14" ht="27.6" x14ac:dyDescent="0.3">
      <c r="A56" s="15" t="s">
        <v>241</v>
      </c>
      <c r="B56" s="5">
        <f>'Renewable heat'!B13</f>
        <v>30.36</v>
      </c>
      <c r="C56" s="15" t="s">
        <v>256</v>
      </c>
      <c r="D56" s="15"/>
    </row>
    <row r="57" spans="1:14" ht="27.6" x14ac:dyDescent="0.3">
      <c r="A57" s="15" t="s">
        <v>242</v>
      </c>
      <c r="B57" s="5">
        <f>'Renewable heat'!B14</f>
        <v>13.2</v>
      </c>
      <c r="C57" s="15" t="s">
        <v>257</v>
      </c>
      <c r="D57" s="15"/>
    </row>
    <row r="58" spans="1:14" x14ac:dyDescent="0.3">
      <c r="A58" s="15"/>
      <c r="B58" s="15"/>
      <c r="C58" s="15"/>
      <c r="D58" s="15"/>
    </row>
    <row r="59" spans="1:14" x14ac:dyDescent="0.3">
      <c r="A59" s="14" t="s">
        <v>244</v>
      </c>
      <c r="B59" s="15"/>
      <c r="C59" s="15"/>
      <c r="D59" s="15"/>
    </row>
    <row r="60" spans="1:14" ht="41.4" x14ac:dyDescent="0.3">
      <c r="A60" s="28" t="s">
        <v>245</v>
      </c>
      <c r="B60" s="28">
        <f>'Renewable heat'!B18</f>
        <v>15</v>
      </c>
      <c r="C60" s="28" t="s">
        <v>260</v>
      </c>
      <c r="D60" s="62">
        <f>'Renewable heat'!B25</f>
        <v>17.826866821443645</v>
      </c>
      <c r="E60" s="62" t="s">
        <v>246</v>
      </c>
      <c r="F60" s="111" t="s">
        <v>248</v>
      </c>
      <c r="G60" s="56" t="s">
        <v>296</v>
      </c>
      <c r="H60" s="61">
        <f>'Renewable heat'!C25</f>
        <v>13.548418784297169</v>
      </c>
      <c r="I60" s="64" t="s">
        <v>246</v>
      </c>
      <c r="J60" s="112" t="s">
        <v>297</v>
      </c>
    </row>
    <row r="61" spans="1:14" x14ac:dyDescent="0.3">
      <c r="A61" s="14"/>
      <c r="B61" s="15"/>
      <c r="C61" s="15"/>
      <c r="D61" s="57">
        <f>'Renewable heat'!B27</f>
        <v>3.9916680056710767</v>
      </c>
      <c r="E61" s="3" t="s">
        <v>247</v>
      </c>
      <c r="F61" s="110"/>
      <c r="G61" s="3" t="s">
        <v>242</v>
      </c>
      <c r="H61" s="61">
        <f>'Renewable heat'!C27</f>
        <v>3.0336676843100183</v>
      </c>
      <c r="I61" s="40" t="s">
        <v>247</v>
      </c>
      <c r="J61" s="112"/>
    </row>
    <row r="62" spans="1:14" x14ac:dyDescent="0.3">
      <c r="A62" s="14"/>
      <c r="B62" s="15"/>
      <c r="C62" s="15"/>
      <c r="D62" s="9"/>
      <c r="E62" s="3"/>
      <c r="F62" s="30"/>
    </row>
    <row r="63" spans="1:14" x14ac:dyDescent="0.3">
      <c r="A63" s="14" t="s">
        <v>228</v>
      </c>
      <c r="B63" s="15"/>
      <c r="C63" s="15"/>
      <c r="D63" s="9"/>
      <c r="E63" s="3"/>
      <c r="F63" s="30"/>
    </row>
    <row r="64" spans="1:14" ht="55.2" x14ac:dyDescent="0.3">
      <c r="A64" s="15" t="s">
        <v>261</v>
      </c>
      <c r="B64" s="5">
        <f>C20</f>
        <v>30.882628336755641</v>
      </c>
      <c r="C64" s="15" t="s">
        <v>258</v>
      </c>
      <c r="D64" s="15" t="s">
        <v>259</v>
      </c>
      <c r="E64" s="21">
        <f>(('Renewable heat'!B21/'Baseline heat &amp; power'!B3)/365.25)+'Renewable heat'!B34</f>
        <v>14.517297946611908</v>
      </c>
      <c r="F64" s="3" t="s">
        <v>258</v>
      </c>
      <c r="G64" s="34" t="s">
        <v>298</v>
      </c>
      <c r="H64" s="41" t="s">
        <v>299</v>
      </c>
      <c r="I64" s="65">
        <f>D20</f>
        <v>23.470797535934292</v>
      </c>
      <c r="J64" s="41" t="s">
        <v>258</v>
      </c>
      <c r="K64" s="41" t="s">
        <v>259</v>
      </c>
      <c r="L64" s="51">
        <f>(('Renewable heat'!C21/'Baseline heat &amp; power'!B3)/365.25)+'Renewable heat'!C34</f>
        <v>11.03314643942505</v>
      </c>
      <c r="M64" s="41" t="s">
        <v>258</v>
      </c>
      <c r="N64" s="112" t="s">
        <v>297</v>
      </c>
    </row>
    <row r="65" spans="1:14" x14ac:dyDescent="0.3">
      <c r="A65" s="15"/>
      <c r="B65" s="5"/>
      <c r="C65" s="15"/>
      <c r="D65" s="15"/>
      <c r="E65" s="21"/>
      <c r="F65" s="3"/>
      <c r="G65" s="34"/>
      <c r="H65" s="41"/>
      <c r="I65" s="41"/>
      <c r="J65" s="41"/>
      <c r="K65" s="39"/>
      <c r="L65" s="39"/>
      <c r="M65" s="39"/>
      <c r="N65" s="112"/>
    </row>
    <row r="66" spans="1:14" ht="55.2" x14ac:dyDescent="0.3">
      <c r="A66" s="15" t="s">
        <v>262</v>
      </c>
      <c r="B66" s="5">
        <f>C21</f>
        <v>13.427229711632888</v>
      </c>
      <c r="C66" s="15" t="s">
        <v>258</v>
      </c>
      <c r="D66" s="15" t="s">
        <v>259</v>
      </c>
      <c r="E66" s="21">
        <f>(('Renewable heat'!B21/'Baseline heat &amp; power'!B2)/365.25)+'Renewable heat'!B35</f>
        <v>6.3118686724399602</v>
      </c>
      <c r="F66" s="3" t="s">
        <v>258</v>
      </c>
      <c r="G66" s="34"/>
      <c r="H66" s="41" t="s">
        <v>299</v>
      </c>
      <c r="I66" s="65">
        <f>D21</f>
        <v>10.204694580840998</v>
      </c>
      <c r="J66" s="41" t="s">
        <v>258</v>
      </c>
      <c r="K66" s="41" t="s">
        <v>259</v>
      </c>
      <c r="L66" s="51">
        <f>(('Renewable heat'!C21/'Baseline heat &amp; power'!B2)/365.25)+'Renewable heat'!C35</f>
        <v>4.7970201910543704</v>
      </c>
      <c r="M66" s="41" t="s">
        <v>258</v>
      </c>
      <c r="N66" s="112"/>
    </row>
    <row r="67" spans="1:14" x14ac:dyDescent="0.3">
      <c r="D67" s="3"/>
      <c r="E67" s="3"/>
      <c r="F67" s="3"/>
    </row>
  </sheetData>
  <mergeCells count="11">
    <mergeCell ref="N64:N66"/>
    <mergeCell ref="E6:F6"/>
    <mergeCell ref="E7:F7"/>
    <mergeCell ref="E8:F8"/>
    <mergeCell ref="E2:H2"/>
    <mergeCell ref="F50:F51"/>
    <mergeCell ref="A10:C10"/>
    <mergeCell ref="A39:D39"/>
    <mergeCell ref="C50:C51"/>
    <mergeCell ref="F60:F61"/>
    <mergeCell ref="J60:J61"/>
  </mergeCells>
  <dataValidations count="2">
    <dataValidation type="whole" allowBlank="1" showInputMessage="1" showErrorMessage="1" errorTitle="% red in energy demand" error="Enter a whole number between 0 and 40" promptTitle="% red in energy demand" prompt="Enter a value between 0 and 40" sqref="G8" xr:uid="{00000000-0002-0000-0100-000000000000}">
      <formula1>0</formula1>
      <formula2>40</formula2>
    </dataValidation>
    <dataValidation type="decimal" allowBlank="1" showInputMessage="1" showErrorMessage="1" errorTitle="% of electric vehicles" error="Enter a value between 0.5 and 99.99" promptTitle="% of electric vehicles" prompt="Enter a value between 0.5 and 99.99" sqref="K6" xr:uid="{00000000-0002-0000-0100-000001000000}">
      <formula1>0.5</formula1>
      <formula2>99.99</formula2>
    </dataValidation>
  </dataValidation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72"/>
  <sheetViews>
    <sheetView workbookViewId="0">
      <selection activeCell="A29" sqref="A29"/>
    </sheetView>
  </sheetViews>
  <sheetFormatPr defaultColWidth="10.796875" defaultRowHeight="13.8" x14ac:dyDescent="0.3"/>
  <cols>
    <col min="1" max="2" width="32.796875" style="3" customWidth="1"/>
    <col min="3" max="3" width="25" style="3" customWidth="1"/>
    <col min="4" max="4" width="26.19921875" style="3" customWidth="1"/>
    <col min="5" max="5" width="54.69921875" style="3" customWidth="1"/>
    <col min="6" max="16384" width="10.796875" style="3"/>
  </cols>
  <sheetData>
    <row r="1" spans="1:5" x14ac:dyDescent="0.3">
      <c r="A1" s="13" t="s">
        <v>88</v>
      </c>
      <c r="D1" s="13" t="s">
        <v>21</v>
      </c>
      <c r="E1" s="13" t="s">
        <v>19</v>
      </c>
    </row>
    <row r="2" spans="1:5" x14ac:dyDescent="0.3">
      <c r="A2" s="4" t="s">
        <v>15</v>
      </c>
      <c r="B2" s="9">
        <f>'Start here'!B6</f>
        <v>20000</v>
      </c>
      <c r="C2" s="9"/>
      <c r="D2" s="4"/>
      <c r="E2" s="4" t="s">
        <v>20</v>
      </c>
    </row>
    <row r="3" spans="1:5" ht="41.4" x14ac:dyDescent="0.3">
      <c r="A3" s="4" t="s">
        <v>18</v>
      </c>
      <c r="B3" s="9">
        <f>B2/2.3</f>
        <v>8695.652173913044</v>
      </c>
      <c r="C3" s="9"/>
      <c r="D3" s="4" t="s">
        <v>87</v>
      </c>
      <c r="E3" s="4" t="s">
        <v>9</v>
      </c>
    </row>
    <row r="4" spans="1:5" x14ac:dyDescent="0.3">
      <c r="A4" s="4"/>
      <c r="B4" s="5"/>
      <c r="C4" s="5"/>
      <c r="D4" s="4"/>
      <c r="E4" s="4"/>
    </row>
    <row r="5" spans="1:5" ht="15.6" x14ac:dyDescent="0.3">
      <c r="A5" s="119" t="s">
        <v>36</v>
      </c>
      <c r="B5" s="123"/>
      <c r="C5" s="123"/>
      <c r="D5" s="123"/>
      <c r="E5" s="4"/>
    </row>
    <row r="6" spans="1:5" ht="55.2" x14ac:dyDescent="0.3">
      <c r="A6" s="4" t="s">
        <v>24</v>
      </c>
      <c r="B6" s="9">
        <f>'Start here'!B7</f>
        <v>83</v>
      </c>
      <c r="C6" s="9"/>
      <c r="D6" s="4" t="s">
        <v>28</v>
      </c>
      <c r="E6" s="4" t="s">
        <v>29</v>
      </c>
    </row>
    <row r="7" spans="1:5" ht="27.6" x14ac:dyDescent="0.3">
      <c r="A7" s="4" t="s">
        <v>25</v>
      </c>
      <c r="B7" s="9">
        <f>100-B6</f>
        <v>17</v>
      </c>
      <c r="C7" s="9"/>
      <c r="D7" s="4" t="s">
        <v>30</v>
      </c>
      <c r="E7" s="4"/>
    </row>
    <row r="8" spans="1:5" ht="27.6" x14ac:dyDescent="0.3">
      <c r="A8" s="4" t="s">
        <v>26</v>
      </c>
      <c r="B8" s="9">
        <f>(B6/100)*B3</f>
        <v>7217.391304347826</v>
      </c>
      <c r="C8" s="9"/>
      <c r="D8" s="4" t="s">
        <v>30</v>
      </c>
      <c r="E8" s="4"/>
    </row>
    <row r="9" spans="1:5" ht="27.6" x14ac:dyDescent="0.3">
      <c r="A9" s="4" t="s">
        <v>27</v>
      </c>
      <c r="B9" s="9">
        <f>B3-B8</f>
        <v>1478.2608695652179</v>
      </c>
      <c r="C9" s="9"/>
      <c r="D9" s="4" t="s">
        <v>30</v>
      </c>
      <c r="E9" s="4"/>
    </row>
    <row r="10" spans="1:5" ht="27.6" x14ac:dyDescent="0.3">
      <c r="A10" s="4" t="s">
        <v>31</v>
      </c>
      <c r="B10" s="9">
        <f>$B$9*(35.3/100)</f>
        <v>521.82608695652186</v>
      </c>
      <c r="C10" s="9"/>
      <c r="D10" s="104" t="s">
        <v>34</v>
      </c>
      <c r="E10" s="104" t="s">
        <v>35</v>
      </c>
    </row>
    <row r="11" spans="1:5" ht="27.6" x14ac:dyDescent="0.3">
      <c r="A11" s="4" t="s">
        <v>32</v>
      </c>
      <c r="B11" s="9">
        <f>$B$9*(52.9/100)</f>
        <v>782.00000000000034</v>
      </c>
      <c r="C11" s="9"/>
      <c r="D11" s="122"/>
      <c r="E11" s="122"/>
    </row>
    <row r="12" spans="1:5" ht="27.6" x14ac:dyDescent="0.3">
      <c r="A12" s="4" t="s">
        <v>33</v>
      </c>
      <c r="B12" s="9">
        <f>$B$9*(11.8/100)</f>
        <v>174.43478260869574</v>
      </c>
      <c r="C12" s="9"/>
      <c r="D12" s="122"/>
      <c r="E12" s="122"/>
    </row>
    <row r="13" spans="1:5" ht="15.6" x14ac:dyDescent="0.3">
      <c r="A13" s="4"/>
      <c r="B13" s="5"/>
      <c r="C13" s="5"/>
      <c r="D13" s="1"/>
      <c r="E13" s="1"/>
    </row>
    <row r="14" spans="1:5" ht="15.6" x14ac:dyDescent="0.3">
      <c r="A14" s="119" t="s">
        <v>37</v>
      </c>
      <c r="B14" s="123"/>
      <c r="C14" s="7"/>
      <c r="D14" s="4"/>
      <c r="E14" s="4"/>
    </row>
    <row r="15" spans="1:5" ht="27.6" x14ac:dyDescent="0.3">
      <c r="A15" s="33"/>
      <c r="B15" s="33" t="s">
        <v>248</v>
      </c>
      <c r="C15" s="33" t="s">
        <v>267</v>
      </c>
      <c r="D15" s="34"/>
      <c r="E15" s="34"/>
    </row>
    <row r="16" spans="1:5" ht="55.2" x14ac:dyDescent="0.3">
      <c r="A16" s="4" t="s">
        <v>101</v>
      </c>
      <c r="B16" s="8">
        <v>3100</v>
      </c>
      <c r="C16" s="8">
        <f>(B16*((100-'Start here'!G6)/100))*((100-'Start here'!G8)/100)</f>
        <v>2430.4</v>
      </c>
      <c r="D16" s="4" t="s">
        <v>39</v>
      </c>
      <c r="E16" s="4" t="s">
        <v>3</v>
      </c>
    </row>
    <row r="17" spans="1:5" ht="55.2" x14ac:dyDescent="0.3">
      <c r="A17" s="4" t="s">
        <v>42</v>
      </c>
      <c r="B17" s="8">
        <v>12000</v>
      </c>
      <c r="C17" s="8">
        <f>(B17*((100-'Start here'!G7)/100))*((100-'Start here'!G8)/100)</f>
        <v>9120</v>
      </c>
      <c r="D17" s="4" t="s">
        <v>38</v>
      </c>
      <c r="E17" s="4" t="s">
        <v>40</v>
      </c>
    </row>
    <row r="18" spans="1:5" ht="41.4" x14ac:dyDescent="0.3">
      <c r="A18" s="4" t="s">
        <v>102</v>
      </c>
      <c r="B18" s="8">
        <f>B16*B8</f>
        <v>22373913.043478262</v>
      </c>
      <c r="C18" s="8">
        <f>C16*B8</f>
        <v>17541147.826086957</v>
      </c>
      <c r="D18" s="4" t="s">
        <v>44</v>
      </c>
      <c r="E18" s="4"/>
    </row>
    <row r="19" spans="1:5" ht="27.6" x14ac:dyDescent="0.3">
      <c r="A19" s="4" t="s">
        <v>41</v>
      </c>
      <c r="B19" s="8">
        <f>B17*B8</f>
        <v>86608695.652173907</v>
      </c>
      <c r="C19" s="8">
        <f>C17*B8</f>
        <v>65822608.695652172</v>
      </c>
      <c r="D19" s="4" t="s">
        <v>44</v>
      </c>
      <c r="E19" s="4"/>
    </row>
    <row r="20" spans="1:5" x14ac:dyDescent="0.3">
      <c r="A20" s="4"/>
      <c r="D20" s="4"/>
      <c r="E20" s="4"/>
    </row>
    <row r="21" spans="1:5" ht="55.2" x14ac:dyDescent="0.3">
      <c r="A21" s="4" t="s">
        <v>47</v>
      </c>
      <c r="B21" s="8">
        <v>4200</v>
      </c>
      <c r="C21" s="8">
        <f>(B21*((100-'Start here'!G6)/100))*((100-'Start here'!G8)/100)</f>
        <v>3292.8</v>
      </c>
      <c r="D21" s="4" t="s">
        <v>43</v>
      </c>
      <c r="E21" s="4" t="s">
        <v>3</v>
      </c>
    </row>
    <row r="22" spans="1:5" ht="41.4" x14ac:dyDescent="0.3">
      <c r="A22" s="4" t="s">
        <v>103</v>
      </c>
      <c r="B22" s="8">
        <v>3100</v>
      </c>
      <c r="C22" s="8">
        <f>(B22*((100-'Start here'!G6)/100))*((100-'Start here'!G8)/100)</f>
        <v>2430.4</v>
      </c>
      <c r="D22" s="4" t="s">
        <v>45</v>
      </c>
      <c r="E22" s="4" t="s">
        <v>3</v>
      </c>
    </row>
    <row r="23" spans="1:5" ht="41.4" x14ac:dyDescent="0.3">
      <c r="A23" s="4" t="s">
        <v>48</v>
      </c>
      <c r="B23" s="8">
        <v>12000</v>
      </c>
      <c r="C23" s="8">
        <f>(B23*((100-'Start here'!G7)/100))*((100-'Start here'!G8)/100)</f>
        <v>9120</v>
      </c>
      <c r="D23" s="4" t="s">
        <v>46</v>
      </c>
      <c r="E23" s="4" t="s">
        <v>3</v>
      </c>
    </row>
    <row r="24" spans="1:5" x14ac:dyDescent="0.3">
      <c r="A24" s="4"/>
      <c r="D24" s="4"/>
      <c r="E24" s="4"/>
    </row>
    <row r="25" spans="1:5" ht="41.4" x14ac:dyDescent="0.3">
      <c r="A25" s="97" t="s">
        <v>415</v>
      </c>
      <c r="B25" s="8">
        <f>B21*B10</f>
        <v>2191669.5652173921</v>
      </c>
      <c r="C25" s="8">
        <f>C21*B10</f>
        <v>1718268.9391304352</v>
      </c>
      <c r="D25" s="4" t="s">
        <v>44</v>
      </c>
      <c r="E25" s="4"/>
    </row>
    <row r="26" spans="1:5" ht="41.4" x14ac:dyDescent="0.3">
      <c r="A26" s="97" t="s">
        <v>416</v>
      </c>
      <c r="B26" s="8">
        <f>B22*B11</f>
        <v>2424200.0000000009</v>
      </c>
      <c r="C26" s="8">
        <f>C22*B11</f>
        <v>1900572.800000001</v>
      </c>
      <c r="D26" s="4" t="s">
        <v>44</v>
      </c>
      <c r="E26" s="4"/>
    </row>
    <row r="27" spans="1:5" ht="41.4" x14ac:dyDescent="0.3">
      <c r="A27" s="97" t="s">
        <v>417</v>
      </c>
      <c r="B27" s="8">
        <f>B22*B12</f>
        <v>540747.82608695677</v>
      </c>
      <c r="C27" s="8">
        <f>C22*B12</f>
        <v>423946.29565217416</v>
      </c>
      <c r="D27" s="4" t="s">
        <v>44</v>
      </c>
      <c r="E27" s="4"/>
    </row>
    <row r="28" spans="1:5" x14ac:dyDescent="0.3">
      <c r="A28" s="4"/>
      <c r="D28" s="4"/>
      <c r="E28" s="4"/>
    </row>
    <row r="29" spans="1:5" ht="27.6" x14ac:dyDescent="0.3">
      <c r="A29" s="4" t="s">
        <v>49</v>
      </c>
      <c r="B29" s="8">
        <f>B23*B11</f>
        <v>9384000.0000000037</v>
      </c>
      <c r="C29" s="8">
        <f>C23*B11</f>
        <v>7131840.0000000028</v>
      </c>
      <c r="D29" s="4" t="s">
        <v>44</v>
      </c>
      <c r="E29" s="4"/>
    </row>
    <row r="30" spans="1:5" ht="27.6" x14ac:dyDescent="0.3">
      <c r="A30" s="4" t="s">
        <v>50</v>
      </c>
      <c r="B30" s="8">
        <f>B23*B12</f>
        <v>2093217.3913043488</v>
      </c>
      <c r="C30" s="8">
        <f>C23*B12</f>
        <v>1590845.2173913051</v>
      </c>
      <c r="D30" s="4" t="s">
        <v>44</v>
      </c>
      <c r="E30" s="4"/>
    </row>
    <row r="31" spans="1:5" x14ac:dyDescent="0.3">
      <c r="A31" s="4"/>
      <c r="B31" s="8"/>
      <c r="C31" s="8"/>
      <c r="D31" s="4"/>
      <c r="E31" s="4"/>
    </row>
    <row r="32" spans="1:5" ht="15.6" x14ac:dyDescent="0.3">
      <c r="A32" s="119" t="s">
        <v>76</v>
      </c>
      <c r="B32" s="120"/>
      <c r="C32" s="11"/>
      <c r="D32" s="4"/>
      <c r="E32" s="4"/>
    </row>
    <row r="33" spans="1:5" ht="27.6" x14ac:dyDescent="0.3">
      <c r="A33" s="4" t="s">
        <v>52</v>
      </c>
      <c r="B33" s="8">
        <f>B18+B25+B26+B27</f>
        <v>27530530.434782609</v>
      </c>
      <c r="C33" s="8">
        <f>C18+C25+C26+C27</f>
        <v>21583935.860869568</v>
      </c>
      <c r="D33" s="4" t="s">
        <v>44</v>
      </c>
      <c r="E33" s="4"/>
    </row>
    <row r="34" spans="1:5" ht="27.6" x14ac:dyDescent="0.3">
      <c r="A34" s="4" t="s">
        <v>51</v>
      </c>
      <c r="B34" s="8">
        <f>B19+B29+B30</f>
        <v>98085913.043478251</v>
      </c>
      <c r="C34" s="8">
        <f>C19+C29+C30</f>
        <v>74545293.913043484</v>
      </c>
      <c r="D34" s="4" t="s">
        <v>44</v>
      </c>
      <c r="E34" s="4"/>
    </row>
    <row r="35" spans="1:5" x14ac:dyDescent="0.3">
      <c r="A35" s="4"/>
      <c r="B35" s="8"/>
      <c r="C35" s="8"/>
      <c r="D35" s="4"/>
      <c r="E35" s="4"/>
    </row>
    <row r="36" spans="1:5" ht="15.6" x14ac:dyDescent="0.3">
      <c r="A36" s="119" t="s">
        <v>60</v>
      </c>
      <c r="B36" s="120"/>
      <c r="C36" s="11"/>
      <c r="D36" s="4"/>
      <c r="E36" s="4"/>
    </row>
    <row r="37" spans="1:5" ht="27.6" x14ac:dyDescent="0.3">
      <c r="A37" s="4" t="s">
        <v>53</v>
      </c>
      <c r="B37" s="8">
        <f>B33/B3</f>
        <v>3166.011</v>
      </c>
      <c r="C37" s="8">
        <f>C33/B3</f>
        <v>2482.1526240000003</v>
      </c>
      <c r="D37" s="4" t="s">
        <v>44</v>
      </c>
      <c r="E37" s="4"/>
    </row>
    <row r="38" spans="1:5" ht="27.6" x14ac:dyDescent="0.3">
      <c r="A38" s="4" t="s">
        <v>54</v>
      </c>
      <c r="B38" s="8">
        <f>B34/B3</f>
        <v>11279.879999999997</v>
      </c>
      <c r="C38" s="8">
        <f>C34/B3</f>
        <v>8572.7088000000003</v>
      </c>
      <c r="D38" s="4" t="s">
        <v>44</v>
      </c>
      <c r="E38" s="4"/>
    </row>
    <row r="39" spans="1:5" x14ac:dyDescent="0.3">
      <c r="A39" s="4"/>
      <c r="B39" s="8"/>
      <c r="C39" s="8"/>
      <c r="D39" s="4"/>
      <c r="E39" s="4"/>
    </row>
    <row r="40" spans="1:5" ht="15.6" x14ac:dyDescent="0.3">
      <c r="A40" s="119" t="s">
        <v>61</v>
      </c>
      <c r="B40" s="120"/>
      <c r="C40" s="11"/>
    </row>
    <row r="41" spans="1:5" ht="27.6" x14ac:dyDescent="0.3">
      <c r="A41" s="4" t="s">
        <v>55</v>
      </c>
      <c r="B41" s="8">
        <f>B33/B2</f>
        <v>1376.5265217391304</v>
      </c>
      <c r="C41" s="8">
        <f>C33/B2</f>
        <v>1079.1967930434785</v>
      </c>
      <c r="D41" s="3" t="s">
        <v>44</v>
      </c>
    </row>
    <row r="42" spans="1:5" ht="27.6" x14ac:dyDescent="0.3">
      <c r="A42" s="4" t="s">
        <v>56</v>
      </c>
      <c r="B42" s="8">
        <f>B34/B2</f>
        <v>4904.2956521739125</v>
      </c>
      <c r="C42" s="8">
        <f>C34/B2</f>
        <v>3727.2646956521744</v>
      </c>
      <c r="D42" s="3" t="s">
        <v>44</v>
      </c>
    </row>
    <row r="43" spans="1:5" x14ac:dyDescent="0.3">
      <c r="A43" s="4"/>
      <c r="B43" s="8"/>
      <c r="C43" s="8"/>
    </row>
    <row r="44" spans="1:5" ht="15.6" x14ac:dyDescent="0.3">
      <c r="A44" s="119" t="s">
        <v>62</v>
      </c>
      <c r="B44" s="121"/>
      <c r="C44" s="10"/>
    </row>
    <row r="45" spans="1:5" ht="41.4" x14ac:dyDescent="0.3">
      <c r="A45" s="4" t="s">
        <v>57</v>
      </c>
      <c r="B45" s="8">
        <f>B41/365.25</f>
        <v>3.7687242210516918</v>
      </c>
      <c r="C45" s="8">
        <f>C41/365.25</f>
        <v>2.9546797893045271</v>
      </c>
      <c r="D45" s="3" t="s">
        <v>44</v>
      </c>
    </row>
    <row r="46" spans="1:5" ht="41.4" x14ac:dyDescent="0.3">
      <c r="A46" s="4" t="s">
        <v>58</v>
      </c>
      <c r="B46" s="8">
        <f>B42/365.25</f>
        <v>13.427229711632888</v>
      </c>
      <c r="C46" s="8">
        <f>C42/365.25</f>
        <v>10.204694580840998</v>
      </c>
      <c r="D46" s="3" t="s">
        <v>44</v>
      </c>
    </row>
    <row r="47" spans="1:5" x14ac:dyDescent="0.3">
      <c r="A47" s="4"/>
    </row>
    <row r="48" spans="1:5" x14ac:dyDescent="0.3">
      <c r="A48" s="12" t="s">
        <v>63</v>
      </c>
    </row>
    <row r="49" spans="1:5" x14ac:dyDescent="0.3">
      <c r="A49" s="12" t="s">
        <v>77</v>
      </c>
    </row>
    <row r="50" spans="1:5" ht="42" x14ac:dyDescent="0.35">
      <c r="A50" s="4" t="s">
        <v>65</v>
      </c>
      <c r="B50" s="3">
        <v>0.18415999999999999</v>
      </c>
      <c r="C50" s="3" t="s">
        <v>277</v>
      </c>
      <c r="D50" s="4" t="s">
        <v>69</v>
      </c>
      <c r="E50" s="4" t="s">
        <v>66</v>
      </c>
    </row>
    <row r="51" spans="1:5" ht="71.400000000000006" x14ac:dyDescent="0.3">
      <c r="A51" s="4" t="s">
        <v>64</v>
      </c>
      <c r="B51" s="3">
        <v>0.35155999999999998</v>
      </c>
      <c r="C51" s="3" t="s">
        <v>277</v>
      </c>
      <c r="D51" s="4" t="s">
        <v>70</v>
      </c>
      <c r="E51" s="4" t="s">
        <v>72</v>
      </c>
    </row>
    <row r="52" spans="1:5" ht="43.8" x14ac:dyDescent="0.3">
      <c r="A52" s="4" t="s">
        <v>68</v>
      </c>
      <c r="B52" s="3">
        <v>0.24659</v>
      </c>
      <c r="C52" s="3" t="s">
        <v>277</v>
      </c>
      <c r="D52" s="4" t="s">
        <v>71</v>
      </c>
      <c r="E52" s="4" t="s">
        <v>67</v>
      </c>
    </row>
    <row r="53" spans="1:5" ht="125.4" x14ac:dyDescent="0.35">
      <c r="A53" s="3" t="s">
        <v>74</v>
      </c>
      <c r="B53" s="3">
        <f>((7.5/100)*0.0127)+((92.5/100)*0.34208)</f>
        <v>0.31737650000000001</v>
      </c>
      <c r="C53" s="3" t="s">
        <v>277</v>
      </c>
      <c r="D53" s="4" t="s">
        <v>75</v>
      </c>
      <c r="E53" s="4" t="s">
        <v>73</v>
      </c>
    </row>
    <row r="54" spans="1:5" x14ac:dyDescent="0.3">
      <c r="D54" s="4"/>
      <c r="E54" s="4"/>
    </row>
    <row r="55" spans="1:5" x14ac:dyDescent="0.3">
      <c r="A55" s="13" t="s">
        <v>78</v>
      </c>
      <c r="D55" s="4"/>
      <c r="E55" s="4"/>
    </row>
    <row r="56" spans="1:5" ht="41.4" x14ac:dyDescent="0.3">
      <c r="A56" s="4" t="s">
        <v>104</v>
      </c>
      <c r="B56" s="8">
        <f>B33*B51</f>
        <v>9678633.2796521746</v>
      </c>
      <c r="C56" s="8">
        <f>C33*B51</f>
        <v>7588048.4912473047</v>
      </c>
      <c r="D56" s="4" t="s">
        <v>79</v>
      </c>
      <c r="E56" s="4"/>
    </row>
    <row r="57" spans="1:5" ht="27.6" x14ac:dyDescent="0.3">
      <c r="A57" s="4" t="s">
        <v>105</v>
      </c>
      <c r="B57" s="8">
        <f>(B19*B50)+(B29*B52)+(B30*B53)</f>
        <v>18928195.96069565</v>
      </c>
      <c r="C57" s="8">
        <f>(C19*B50)+(C29*B52)+(C30*B53)</f>
        <v>14385428.930128694</v>
      </c>
      <c r="D57" s="4" t="s">
        <v>44</v>
      </c>
      <c r="E57" s="4"/>
    </row>
    <row r="58" spans="1:5" ht="41.4" x14ac:dyDescent="0.3">
      <c r="A58" s="4" t="s">
        <v>80</v>
      </c>
      <c r="B58" s="8">
        <f>B56+B57</f>
        <v>28606829.240347825</v>
      </c>
      <c r="C58" s="8">
        <f>C56+C57</f>
        <v>21973477.421375997</v>
      </c>
      <c r="D58" s="4" t="s">
        <v>44</v>
      </c>
      <c r="E58" s="4"/>
    </row>
    <row r="59" spans="1:5" ht="27.6" x14ac:dyDescent="0.3">
      <c r="A59" s="4" t="s">
        <v>81</v>
      </c>
      <c r="B59" s="8">
        <f>B56/B3</f>
        <v>1113.0428271600001</v>
      </c>
      <c r="C59" s="8">
        <f>C56/B3</f>
        <v>872.62557649344001</v>
      </c>
      <c r="D59" s="4" t="s">
        <v>44</v>
      </c>
      <c r="E59" s="4"/>
    </row>
    <row r="60" spans="1:5" ht="27.6" x14ac:dyDescent="0.3">
      <c r="A60" s="4" t="s">
        <v>82</v>
      </c>
      <c r="B60" s="8">
        <f>B57/B3</f>
        <v>2176.7425354799998</v>
      </c>
      <c r="C60" s="8">
        <f>C57/B3</f>
        <v>1654.3243269647996</v>
      </c>
      <c r="D60" s="4" t="s">
        <v>44</v>
      </c>
      <c r="E60" s="4"/>
    </row>
    <row r="61" spans="1:5" ht="27.6" x14ac:dyDescent="0.3">
      <c r="A61" s="4" t="s">
        <v>83</v>
      </c>
      <c r="B61" s="8">
        <f>B58/B3</f>
        <v>3289.7853626399997</v>
      </c>
      <c r="C61" s="8">
        <f>C58/B3</f>
        <v>2526.9499034582395</v>
      </c>
      <c r="D61" s="4" t="s">
        <v>44</v>
      </c>
      <c r="E61" s="4"/>
    </row>
    <row r="62" spans="1:5" x14ac:dyDescent="0.3">
      <c r="A62" s="4"/>
      <c r="B62" s="8"/>
      <c r="C62" s="8"/>
      <c r="D62" s="4"/>
      <c r="E62" s="4"/>
    </row>
    <row r="63" spans="1:5" x14ac:dyDescent="0.3">
      <c r="A63" s="12" t="s">
        <v>84</v>
      </c>
      <c r="B63" s="8"/>
      <c r="C63" s="8"/>
      <c r="D63" s="4"/>
      <c r="E63" s="4"/>
    </row>
    <row r="64" spans="1:5" ht="41.4" x14ac:dyDescent="0.3">
      <c r="A64" s="4" t="s">
        <v>85</v>
      </c>
      <c r="B64" s="8">
        <f>B58/B2</f>
        <v>1430.3414620173912</v>
      </c>
      <c r="C64" s="8">
        <f>C58/B2</f>
        <v>1098.6738710687998</v>
      </c>
      <c r="D64" s="4" t="s">
        <v>44</v>
      </c>
      <c r="E64" s="4"/>
    </row>
    <row r="65" spans="1:5" ht="41.4" x14ac:dyDescent="0.3">
      <c r="A65" s="4" t="s">
        <v>86</v>
      </c>
      <c r="B65" s="8">
        <f>B64/365.25</f>
        <v>3.9160614976519952</v>
      </c>
      <c r="C65" s="8">
        <f>C64/365.25</f>
        <v>3.0080051227071865</v>
      </c>
      <c r="D65" s="4" t="s">
        <v>44</v>
      </c>
      <c r="E65" s="4"/>
    </row>
    <row r="66" spans="1:5" x14ac:dyDescent="0.3">
      <c r="A66" s="4"/>
      <c r="D66" s="4"/>
    </row>
    <row r="67" spans="1:5" x14ac:dyDescent="0.3">
      <c r="A67" s="4"/>
    </row>
    <row r="68" spans="1:5" x14ac:dyDescent="0.3">
      <c r="A68" s="4"/>
    </row>
    <row r="69" spans="1:5" x14ac:dyDescent="0.3">
      <c r="A69" s="4"/>
    </row>
    <row r="70" spans="1:5" x14ac:dyDescent="0.3">
      <c r="A70" s="4"/>
    </row>
    <row r="71" spans="1:5" x14ac:dyDescent="0.3">
      <c r="A71" s="4"/>
    </row>
    <row r="72" spans="1:5" x14ac:dyDescent="0.3">
      <c r="A72" s="4"/>
    </row>
  </sheetData>
  <mergeCells count="8">
    <mergeCell ref="A40:B40"/>
    <mergeCell ref="A44:B44"/>
    <mergeCell ref="D10:D12"/>
    <mergeCell ref="E10:E12"/>
    <mergeCell ref="A5:D5"/>
    <mergeCell ref="A14:B14"/>
    <mergeCell ref="A32:B32"/>
    <mergeCell ref="A36:B36"/>
  </mergeCells>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51"/>
  <sheetViews>
    <sheetView topLeftCell="A22" workbookViewId="0">
      <selection activeCell="F37" sqref="F37"/>
    </sheetView>
  </sheetViews>
  <sheetFormatPr defaultColWidth="11" defaultRowHeight="15.6" x14ac:dyDescent="0.3"/>
  <cols>
    <col min="1" max="2" width="43.296875" customWidth="1"/>
    <col min="3" max="3" width="35.796875" customWidth="1"/>
    <col min="4" max="4" width="43.296875" customWidth="1"/>
    <col min="5" max="5" width="21.5" customWidth="1"/>
  </cols>
  <sheetData>
    <row r="1" spans="1:6" s="2" customFormat="1" x14ac:dyDescent="0.3">
      <c r="A1" s="2" t="s">
        <v>88</v>
      </c>
      <c r="B1" s="2" t="s">
        <v>89</v>
      </c>
      <c r="C1" s="2" t="s">
        <v>4</v>
      </c>
      <c r="D1" s="2" t="s">
        <v>0</v>
      </c>
    </row>
    <row r="2" spans="1:6" ht="151.80000000000001" x14ac:dyDescent="0.3">
      <c r="A2" s="34" t="s">
        <v>91</v>
      </c>
      <c r="B2" s="3">
        <v>30.7</v>
      </c>
      <c r="C2" s="3" t="s">
        <v>106</v>
      </c>
      <c r="D2" s="34" t="s">
        <v>107</v>
      </c>
      <c r="E2" s="34"/>
    </row>
    <row r="3" spans="1:6" ht="41.4" x14ac:dyDescent="0.3">
      <c r="A3" s="34" t="s">
        <v>94</v>
      </c>
      <c r="B3" s="63">
        <f>(65648100/1000000)</f>
        <v>65.648099999999999</v>
      </c>
      <c r="C3" s="34" t="s">
        <v>92</v>
      </c>
      <c r="D3" s="34" t="s">
        <v>108</v>
      </c>
      <c r="E3" s="34"/>
    </row>
    <row r="4" spans="1:6" x14ac:dyDescent="0.3">
      <c r="A4" s="33" t="s">
        <v>303</v>
      </c>
      <c r="B4" s="63"/>
      <c r="C4" s="34"/>
      <c r="D4" s="34"/>
      <c r="E4" s="34"/>
    </row>
    <row r="5" spans="1:6" ht="27.6" x14ac:dyDescent="0.3">
      <c r="A5" s="34" t="s">
        <v>93</v>
      </c>
      <c r="B5" s="58">
        <f>B2/B3</f>
        <v>0.46764491280021814</v>
      </c>
      <c r="C5" s="3" t="s">
        <v>44</v>
      </c>
      <c r="D5" s="34"/>
      <c r="E5" s="34"/>
    </row>
    <row r="6" spans="1:6" x14ac:dyDescent="0.3">
      <c r="A6" s="34" t="s">
        <v>90</v>
      </c>
      <c r="B6" s="8">
        <f>'Start here'!B6</f>
        <v>20000</v>
      </c>
      <c r="C6" s="3" t="s">
        <v>98</v>
      </c>
      <c r="D6" s="34"/>
      <c r="E6" s="34"/>
    </row>
    <row r="7" spans="1:6" x14ac:dyDescent="0.3">
      <c r="A7" s="33" t="s">
        <v>326</v>
      </c>
      <c r="B7" s="99" t="s">
        <v>327</v>
      </c>
      <c r="C7" s="3"/>
      <c r="D7" s="34"/>
      <c r="E7" s="34"/>
      <c r="F7" s="13" t="s">
        <v>322</v>
      </c>
    </row>
    <row r="8" spans="1:6" x14ac:dyDescent="0.3">
      <c r="A8" s="34" t="s">
        <v>320</v>
      </c>
      <c r="B8" s="8">
        <f>(B6*B5)*((100-'Start here'!K6)/100)</f>
        <v>9306.1337647243399</v>
      </c>
      <c r="C8" s="3" t="s">
        <v>44</v>
      </c>
      <c r="D8" s="34"/>
      <c r="E8" s="34"/>
      <c r="F8" s="67">
        <f>(B6*B5)*('Start here'!K6)/100</f>
        <v>46.764491280021815</v>
      </c>
    </row>
    <row r="9" spans="1:6" x14ac:dyDescent="0.3">
      <c r="A9" s="33" t="s">
        <v>304</v>
      </c>
      <c r="B9" s="8"/>
      <c r="C9" s="3"/>
      <c r="D9" s="34"/>
      <c r="E9" s="34"/>
      <c r="F9" s="68"/>
    </row>
    <row r="10" spans="1:6" ht="27.6" x14ac:dyDescent="0.3">
      <c r="A10" s="34" t="s">
        <v>96</v>
      </c>
      <c r="B10" s="8">
        <v>7800</v>
      </c>
      <c r="C10" s="34"/>
      <c r="D10" s="34" t="s">
        <v>99</v>
      </c>
      <c r="E10" s="34"/>
      <c r="F10" s="69">
        <f>B10</f>
        <v>7800</v>
      </c>
    </row>
    <row r="11" spans="1:6" x14ac:dyDescent="0.3">
      <c r="A11" s="34" t="s">
        <v>97</v>
      </c>
      <c r="B11" s="8">
        <f>B10*1.609344</f>
        <v>12552.8832</v>
      </c>
      <c r="C11" s="34" t="s">
        <v>44</v>
      </c>
      <c r="D11" s="34"/>
      <c r="E11" s="34"/>
      <c r="F11" s="69">
        <f>B11</f>
        <v>12552.8832</v>
      </c>
    </row>
    <row r="12" spans="1:6" x14ac:dyDescent="0.3">
      <c r="A12" s="34"/>
      <c r="B12" s="8"/>
      <c r="C12" s="34"/>
      <c r="D12" s="34"/>
      <c r="E12" s="34"/>
      <c r="F12" s="8"/>
    </row>
    <row r="13" spans="1:6" x14ac:dyDescent="0.3">
      <c r="A13" s="34"/>
      <c r="B13" s="99" t="s">
        <v>321</v>
      </c>
      <c r="C13" s="34"/>
      <c r="D13" s="34"/>
      <c r="E13" s="34"/>
      <c r="F13" s="13" t="s">
        <v>322</v>
      </c>
    </row>
    <row r="14" spans="1:6" ht="27.6" x14ac:dyDescent="0.3">
      <c r="A14" s="34" t="s">
        <v>95</v>
      </c>
      <c r="B14" s="8">
        <f>(B10*B8)*((100-'Start here'!K6)/100)</f>
        <v>72224904.148025602</v>
      </c>
      <c r="C14" s="34" t="s">
        <v>100</v>
      </c>
      <c r="D14" s="34"/>
      <c r="E14" s="34"/>
      <c r="F14" s="69">
        <f>(F10*F8)*('Start here'!K6/100)</f>
        <v>1823.8151599208506</v>
      </c>
    </row>
    <row r="15" spans="1:6" ht="27.6" x14ac:dyDescent="0.3">
      <c r="A15" s="34" t="s">
        <v>319</v>
      </c>
      <c r="B15" s="8">
        <f>(B11*B8)*((100-'Start here'!K6)/100)</f>
        <v>116234716.14120011</v>
      </c>
      <c r="C15" s="34" t="s">
        <v>44</v>
      </c>
      <c r="D15" s="34"/>
      <c r="E15" s="34"/>
      <c r="F15" s="69">
        <f>(F11*F8)*('Start here'!K6/100)</f>
        <v>2935.1459847276619</v>
      </c>
    </row>
    <row r="16" spans="1:6" x14ac:dyDescent="0.3">
      <c r="A16" s="33" t="s">
        <v>305</v>
      </c>
      <c r="B16" s="21"/>
      <c r="C16" s="34"/>
      <c r="D16" s="34"/>
      <c r="E16" s="34"/>
    </row>
    <row r="17" spans="1:6" ht="55.2" x14ac:dyDescent="0.3">
      <c r="A17" s="34" t="s">
        <v>109</v>
      </c>
      <c r="B17" s="3">
        <v>39</v>
      </c>
      <c r="C17" s="34" t="s">
        <v>110</v>
      </c>
      <c r="D17" s="34" t="s">
        <v>111</v>
      </c>
      <c r="E17" s="34"/>
      <c r="F17" s="34" t="s">
        <v>277</v>
      </c>
    </row>
    <row r="18" spans="1:6" x14ac:dyDescent="0.3">
      <c r="A18" s="34"/>
      <c r="B18" s="3"/>
      <c r="C18" s="34"/>
      <c r="D18" s="34"/>
      <c r="E18" s="34"/>
    </row>
    <row r="19" spans="1:6" x14ac:dyDescent="0.3">
      <c r="A19" s="33" t="s">
        <v>317</v>
      </c>
      <c r="B19" s="3"/>
      <c r="C19" s="34"/>
      <c r="D19" s="34"/>
      <c r="E19" s="34"/>
    </row>
    <row r="20" spans="1:6" ht="55.2" x14ac:dyDescent="0.3">
      <c r="A20" s="34" t="s">
        <v>112</v>
      </c>
      <c r="B20" s="21">
        <f>(31*1.05)</f>
        <v>32.550000000000004</v>
      </c>
      <c r="C20" s="34" t="s">
        <v>114</v>
      </c>
      <c r="D20" s="34" t="s">
        <v>116</v>
      </c>
      <c r="E20" s="34"/>
      <c r="F20" s="34" t="s">
        <v>277</v>
      </c>
    </row>
    <row r="21" spans="1:6" ht="27.6" x14ac:dyDescent="0.3">
      <c r="A21" s="34" t="s">
        <v>315</v>
      </c>
      <c r="B21" s="58">
        <f>(100/((B20*1.609344)/4.54609))</f>
        <v>8.6783697797794819</v>
      </c>
      <c r="C21" s="34" t="s">
        <v>316</v>
      </c>
      <c r="D21" s="34"/>
      <c r="E21" s="34"/>
      <c r="F21" s="34" t="s">
        <v>277</v>
      </c>
    </row>
    <row r="22" spans="1:6" ht="55.2" x14ac:dyDescent="0.3">
      <c r="A22" s="34" t="s">
        <v>113</v>
      </c>
      <c r="B22" s="21">
        <f>(39*1.05)</f>
        <v>40.950000000000003</v>
      </c>
      <c r="C22" s="34" t="s">
        <v>114</v>
      </c>
      <c r="D22" s="34" t="s">
        <v>117</v>
      </c>
      <c r="E22" s="34"/>
      <c r="F22" s="34" t="s">
        <v>277</v>
      </c>
    </row>
    <row r="23" spans="1:6" ht="27.6" x14ac:dyDescent="0.3">
      <c r="A23" s="34" t="s">
        <v>115</v>
      </c>
      <c r="B23" s="58">
        <f>(100/((B22*1.609344)/4.54609))</f>
        <v>6.89819136341446</v>
      </c>
      <c r="C23" s="34" t="s">
        <v>316</v>
      </c>
      <c r="D23" s="34"/>
      <c r="E23" s="34"/>
    </row>
    <row r="24" spans="1:6" x14ac:dyDescent="0.3">
      <c r="A24" s="33" t="s">
        <v>318</v>
      </c>
      <c r="B24" s="3"/>
      <c r="C24" s="34"/>
      <c r="D24" s="34"/>
      <c r="E24" s="34"/>
    </row>
    <row r="25" spans="1:6" ht="27.6" x14ac:dyDescent="0.3">
      <c r="A25" s="34" t="s">
        <v>328</v>
      </c>
      <c r="B25" s="8">
        <f>(((100-B17)/100)*B15*B21)/100</f>
        <v>6153239.8723183284</v>
      </c>
      <c r="C25" s="34"/>
      <c r="D25" s="34"/>
      <c r="E25" s="34"/>
    </row>
    <row r="26" spans="1:6" ht="27.6" x14ac:dyDescent="0.3">
      <c r="A26" s="34" t="s">
        <v>329</v>
      </c>
      <c r="B26" s="8">
        <f>((B17/100)*B15*B23)/100</f>
        <v>3127056.3285552161</v>
      </c>
      <c r="C26" s="34"/>
      <c r="D26" s="34"/>
      <c r="E26" s="34"/>
    </row>
    <row r="27" spans="1:6" x14ac:dyDescent="0.3">
      <c r="A27" s="33" t="s">
        <v>306</v>
      </c>
      <c r="B27" s="3"/>
      <c r="C27" s="34"/>
      <c r="D27" s="34"/>
      <c r="E27" s="34"/>
    </row>
    <row r="28" spans="1:6" ht="27.6" x14ac:dyDescent="0.3">
      <c r="A28" s="34" t="s">
        <v>118</v>
      </c>
      <c r="B28" s="3">
        <v>10</v>
      </c>
      <c r="C28" s="3" t="s">
        <v>120</v>
      </c>
      <c r="D28" s="34" t="s">
        <v>121</v>
      </c>
      <c r="E28" s="34"/>
    </row>
    <row r="29" spans="1:6" x14ac:dyDescent="0.3">
      <c r="A29" s="34" t="s">
        <v>119</v>
      </c>
      <c r="B29" s="3">
        <v>11</v>
      </c>
      <c r="C29" s="3" t="s">
        <v>120</v>
      </c>
      <c r="D29" s="34" t="s">
        <v>40</v>
      </c>
      <c r="E29" s="34"/>
    </row>
    <row r="30" spans="1:6" ht="27.6" x14ac:dyDescent="0.3">
      <c r="A30" s="33" t="s">
        <v>330</v>
      </c>
      <c r="B30" s="3"/>
      <c r="C30" s="3"/>
      <c r="D30" s="34"/>
      <c r="E30" s="34"/>
    </row>
    <row r="31" spans="1:6" ht="27.6" x14ac:dyDescent="0.3">
      <c r="A31" s="34" t="s">
        <v>314</v>
      </c>
      <c r="B31" s="21">
        <f>B21*B28</f>
        <v>86.783697797794815</v>
      </c>
      <c r="C31" s="3"/>
      <c r="D31" s="34"/>
      <c r="E31" s="34"/>
    </row>
    <row r="32" spans="1:6" ht="27.6" x14ac:dyDescent="0.3">
      <c r="A32" s="34" t="s">
        <v>314</v>
      </c>
      <c r="B32" s="21">
        <f>B23*B29</f>
        <v>75.880104997559059</v>
      </c>
      <c r="C32" s="3"/>
      <c r="D32" s="34"/>
      <c r="E32" s="34"/>
    </row>
    <row r="33" spans="1:6" ht="55.2" x14ac:dyDescent="0.3">
      <c r="A33" s="34" t="s">
        <v>331</v>
      </c>
      <c r="B33" s="3">
        <v>19</v>
      </c>
      <c r="C33" s="3"/>
      <c r="D33" s="34" t="s">
        <v>332</v>
      </c>
      <c r="E33" s="34"/>
    </row>
    <row r="34" spans="1:6" x14ac:dyDescent="0.3">
      <c r="A34" s="34"/>
      <c r="B34" s="3"/>
      <c r="C34" s="3"/>
      <c r="D34" s="34"/>
      <c r="E34" s="34"/>
    </row>
    <row r="35" spans="1:6" x14ac:dyDescent="0.3">
      <c r="A35" s="34"/>
      <c r="B35" s="3"/>
      <c r="C35" s="3"/>
      <c r="D35" s="34"/>
      <c r="E35" s="34"/>
    </row>
    <row r="36" spans="1:6" x14ac:dyDescent="0.3">
      <c r="A36" s="13" t="s">
        <v>311</v>
      </c>
      <c r="B36" s="3"/>
      <c r="C36" s="3"/>
      <c r="D36" s="34"/>
      <c r="E36" s="34"/>
    </row>
    <row r="37" spans="1:6" ht="41.4" x14ac:dyDescent="0.3">
      <c r="A37" s="34" t="s">
        <v>300</v>
      </c>
      <c r="B37" s="8">
        <f>B25*B28</f>
        <v>61532398.723183282</v>
      </c>
      <c r="C37" s="34" t="s">
        <v>122</v>
      </c>
      <c r="D37" s="3"/>
      <c r="E37" s="33" t="s">
        <v>338</v>
      </c>
      <c r="F37" s="69">
        <f>(B33/100)*F15</f>
        <v>557.67773709825576</v>
      </c>
    </row>
    <row r="38" spans="1:6" ht="27.6" x14ac:dyDescent="0.3">
      <c r="A38" s="34" t="s">
        <v>301</v>
      </c>
      <c r="B38" s="8">
        <f>B26*B29</f>
        <v>34397619.614107378</v>
      </c>
      <c r="C38" s="34" t="s">
        <v>122</v>
      </c>
      <c r="D38" s="3"/>
      <c r="E38" s="3"/>
    </row>
    <row r="39" spans="1:6" x14ac:dyDescent="0.3">
      <c r="A39" s="34"/>
      <c r="B39" s="8"/>
      <c r="C39" s="34"/>
      <c r="D39" s="3"/>
      <c r="E39" s="3"/>
    </row>
    <row r="40" spans="1:6" x14ac:dyDescent="0.3">
      <c r="A40" s="13" t="s">
        <v>312</v>
      </c>
      <c r="B40" s="3"/>
      <c r="C40" s="3"/>
      <c r="D40" s="3"/>
      <c r="E40" s="3"/>
    </row>
    <row r="41" spans="1:6" ht="16.2" x14ac:dyDescent="0.35">
      <c r="A41" s="34" t="s">
        <v>307</v>
      </c>
      <c r="B41" s="3">
        <f>(2392/1000)</f>
        <v>2.3919999999999999</v>
      </c>
      <c r="C41" s="3"/>
      <c r="D41" s="3" t="s">
        <v>123</v>
      </c>
      <c r="E41" s="3"/>
    </row>
    <row r="42" spans="1:6" x14ac:dyDescent="0.3">
      <c r="A42" s="34" t="s">
        <v>302</v>
      </c>
      <c r="B42" s="3">
        <f>(2640/1000)</f>
        <v>2.64</v>
      </c>
      <c r="C42" s="3"/>
      <c r="D42" s="3" t="s">
        <v>40</v>
      </c>
      <c r="E42" s="3"/>
    </row>
    <row r="43" spans="1:6" x14ac:dyDescent="0.3">
      <c r="A43" s="3"/>
      <c r="B43" s="3"/>
      <c r="C43" s="3"/>
      <c r="D43" s="3"/>
      <c r="E43" s="3"/>
    </row>
    <row r="44" spans="1:6" ht="28.8" x14ac:dyDescent="0.3">
      <c r="A44" s="34" t="s">
        <v>308</v>
      </c>
      <c r="B44" s="8">
        <f>B41*B25</f>
        <v>14718549.774585441</v>
      </c>
      <c r="C44" s="3"/>
      <c r="D44" s="3"/>
      <c r="E44" s="3"/>
      <c r="F44" s="69">
        <f>F37*'Baseline heat &amp; power'!B51</f>
        <v>196.05718525426278</v>
      </c>
    </row>
    <row r="45" spans="1:6" ht="28.8" x14ac:dyDescent="0.3">
      <c r="A45" s="34" t="s">
        <v>309</v>
      </c>
      <c r="B45" s="8">
        <f>B42*B26</f>
        <v>8255428.707385771</v>
      </c>
      <c r="C45" s="3"/>
      <c r="D45" s="3"/>
      <c r="E45" s="3"/>
      <c r="F45" s="3" t="s">
        <v>277</v>
      </c>
    </row>
    <row r="46" spans="1:6" x14ac:dyDescent="0.3">
      <c r="A46" s="13" t="s">
        <v>313</v>
      </c>
      <c r="B46" s="3"/>
      <c r="C46" s="3"/>
      <c r="D46" s="3"/>
      <c r="E46" s="3"/>
    </row>
    <row r="47" spans="1:6" ht="27.6" x14ac:dyDescent="0.3">
      <c r="A47" s="34" t="s">
        <v>333</v>
      </c>
      <c r="B47" s="8">
        <f>(B37+F37+B38)/('Baseline heat &amp; power'!B3)</f>
        <v>11032.016241728192</v>
      </c>
      <c r="C47" s="3"/>
      <c r="D47" s="3" t="s">
        <v>334</v>
      </c>
      <c r="E47" s="3"/>
    </row>
    <row r="48" spans="1:6" ht="27.6" x14ac:dyDescent="0.3">
      <c r="A48" s="34" t="s">
        <v>339</v>
      </c>
      <c r="B48" s="58">
        <f>((B37+F37+B38)/'Baseline heat &amp; power'!B2/365.25)</f>
        <v>13.132180152638982</v>
      </c>
      <c r="C48" s="3"/>
      <c r="D48" s="34" t="s">
        <v>337</v>
      </c>
      <c r="E48" s="3"/>
    </row>
    <row r="49" spans="1:5" ht="16.2" x14ac:dyDescent="0.35">
      <c r="A49" s="33" t="s">
        <v>340</v>
      </c>
      <c r="B49" s="21"/>
      <c r="C49" s="3"/>
      <c r="D49" s="3"/>
      <c r="E49" s="3"/>
    </row>
    <row r="50" spans="1:5" ht="28.8" x14ac:dyDescent="0.3">
      <c r="A50" s="34" t="s">
        <v>335</v>
      </c>
      <c r="B50" s="8">
        <f>(B44+F44+B45)/'Baseline heat &amp; power'!B2</f>
        <v>1148.7087269578233</v>
      </c>
      <c r="C50" s="3"/>
      <c r="D50" s="34" t="s">
        <v>336</v>
      </c>
      <c r="E50" s="3"/>
    </row>
    <row r="51" spans="1:5" ht="28.8" x14ac:dyDescent="0.3">
      <c r="A51" s="34" t="s">
        <v>310</v>
      </c>
      <c r="B51" s="58">
        <f>B50/365.25</f>
        <v>3.1449930922869904</v>
      </c>
      <c r="C51" s="3"/>
      <c r="D51" s="3" t="s">
        <v>40</v>
      </c>
      <c r="E51" s="3"/>
    </row>
  </sheetData>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62"/>
  <sheetViews>
    <sheetView topLeftCell="A44" workbookViewId="0">
      <selection activeCell="C52" sqref="C52"/>
    </sheetView>
  </sheetViews>
  <sheetFormatPr defaultColWidth="11" defaultRowHeight="15.6" x14ac:dyDescent="0.3"/>
  <cols>
    <col min="1" max="1" width="29.19921875" customWidth="1"/>
    <col min="2" max="2" width="15.296875" bestFit="1" customWidth="1"/>
    <col min="3" max="3" width="44.296875" customWidth="1"/>
    <col min="4" max="4" width="46.296875" customWidth="1"/>
  </cols>
  <sheetData>
    <row r="1" spans="1:4" ht="21" x14ac:dyDescent="0.4">
      <c r="A1" s="17" t="s">
        <v>192</v>
      </c>
    </row>
    <row r="3" spans="1:4" x14ac:dyDescent="0.3">
      <c r="A3" t="s">
        <v>191</v>
      </c>
    </row>
    <row r="5" spans="1:4" x14ac:dyDescent="0.3">
      <c r="A5" s="2"/>
    </row>
    <row r="6" spans="1:4" x14ac:dyDescent="0.3">
      <c r="A6" s="2" t="s">
        <v>165</v>
      </c>
    </row>
    <row r="7" spans="1:4" x14ac:dyDescent="0.3">
      <c r="A7" s="3" t="s">
        <v>137</v>
      </c>
    </row>
    <row r="9" spans="1:4" x14ac:dyDescent="0.3">
      <c r="A9" s="2" t="s">
        <v>88</v>
      </c>
      <c r="B9" s="2" t="s">
        <v>89</v>
      </c>
      <c r="C9" s="2" t="s">
        <v>4</v>
      </c>
      <c r="D9" s="2" t="s">
        <v>0</v>
      </c>
    </row>
    <row r="10" spans="1:4" ht="126.6" x14ac:dyDescent="0.3">
      <c r="A10" s="6" t="s">
        <v>147</v>
      </c>
      <c r="B10" s="6">
        <v>10</v>
      </c>
      <c r="C10" s="6" t="s">
        <v>139</v>
      </c>
      <c r="D10" s="6" t="s">
        <v>138</v>
      </c>
    </row>
    <row r="11" spans="1:4" ht="42.6" x14ac:dyDescent="0.3">
      <c r="A11" s="6" t="s">
        <v>148</v>
      </c>
      <c r="B11" s="6">
        <v>110</v>
      </c>
      <c r="C11" s="6"/>
      <c r="D11" s="6" t="s">
        <v>140</v>
      </c>
    </row>
    <row r="12" spans="1:4" ht="27.6" x14ac:dyDescent="0.3">
      <c r="A12" s="6" t="s">
        <v>149</v>
      </c>
      <c r="B12" s="6">
        <v>15</v>
      </c>
      <c r="C12" s="6" t="s">
        <v>141</v>
      </c>
      <c r="D12" s="6" t="s">
        <v>142</v>
      </c>
    </row>
    <row r="13" spans="1:4" ht="28.8" x14ac:dyDescent="0.3">
      <c r="A13" s="6" t="s">
        <v>151</v>
      </c>
      <c r="B13" s="5">
        <f>(B12/100)*B11</f>
        <v>16.5</v>
      </c>
      <c r="C13" s="6" t="s">
        <v>150</v>
      </c>
      <c r="D13" s="6"/>
    </row>
    <row r="14" spans="1:4" ht="42.6" x14ac:dyDescent="0.3">
      <c r="A14" s="6" t="s">
        <v>152</v>
      </c>
      <c r="B14" s="9">
        <f>B10*'Start here'!B6</f>
        <v>200000</v>
      </c>
      <c r="C14" s="6" t="s">
        <v>44</v>
      </c>
      <c r="D14" s="6"/>
    </row>
    <row r="15" spans="1:4" ht="27.6" x14ac:dyDescent="0.3">
      <c r="A15" s="6" t="s">
        <v>153</v>
      </c>
      <c r="B15" s="9">
        <f>(B13*B14)/1000</f>
        <v>3300</v>
      </c>
      <c r="C15" s="6" t="s">
        <v>144</v>
      </c>
      <c r="D15" s="6"/>
    </row>
    <row r="16" spans="1:4" ht="27.6" x14ac:dyDescent="0.3">
      <c r="A16" s="6" t="s">
        <v>154</v>
      </c>
      <c r="B16" s="9">
        <f>B15*24</f>
        <v>79200</v>
      </c>
      <c r="C16" s="6" t="s">
        <v>143</v>
      </c>
      <c r="D16" s="6"/>
    </row>
    <row r="17" spans="1:4" ht="41.4" x14ac:dyDescent="0.3">
      <c r="A17" s="6" t="s">
        <v>155</v>
      </c>
      <c r="B17" s="5">
        <f>B16/'Baseline heat &amp; power'!B3</f>
        <v>9.1079999999999988</v>
      </c>
      <c r="C17" s="6" t="s">
        <v>145</v>
      </c>
      <c r="D17" s="6"/>
    </row>
    <row r="18" spans="1:4" ht="41.4" x14ac:dyDescent="0.3">
      <c r="A18" s="6" t="s">
        <v>156</v>
      </c>
      <c r="B18" s="5">
        <f>B16/'Baseline heat &amp; power'!B2</f>
        <v>3.96</v>
      </c>
      <c r="C18" s="6" t="s">
        <v>146</v>
      </c>
      <c r="D18" s="6"/>
    </row>
    <row r="19" spans="1:4" x14ac:dyDescent="0.3">
      <c r="A19" s="6"/>
      <c r="B19" s="6"/>
      <c r="C19" s="6"/>
      <c r="D19" s="6"/>
    </row>
    <row r="20" spans="1:4" ht="27.6" x14ac:dyDescent="0.3">
      <c r="A20" s="34"/>
      <c r="B20" s="33" t="s">
        <v>283</v>
      </c>
      <c r="C20" s="33" t="s">
        <v>284</v>
      </c>
      <c r="D20" s="34"/>
    </row>
    <row r="21" spans="1:4" ht="41.4" x14ac:dyDescent="0.3">
      <c r="A21" s="6" t="s">
        <v>157</v>
      </c>
      <c r="B21" s="9">
        <f>('Baseline heat &amp; power'!B33)/365.25</f>
        <v>75374.484421033834</v>
      </c>
      <c r="C21" s="9">
        <f>('Baseline heat &amp; power'!C33)/365.25</f>
        <v>59093.595786090533</v>
      </c>
      <c r="D21" s="6"/>
    </row>
    <row r="22" spans="1:4" ht="41.4" x14ac:dyDescent="0.3">
      <c r="A22" s="6" t="s">
        <v>158</v>
      </c>
      <c r="B22" s="5">
        <f>('Baseline heat &amp; power'!B37)/365.25</f>
        <v>8.6680657084188919</v>
      </c>
      <c r="C22" s="5">
        <f>('Baseline heat &amp; power'!C37)/365.25</f>
        <v>6.7957635154004112</v>
      </c>
      <c r="D22" s="6"/>
    </row>
    <row r="23" spans="1:4" ht="41.4" x14ac:dyDescent="0.3">
      <c r="A23" s="6" t="s">
        <v>159</v>
      </c>
      <c r="B23" s="5">
        <f>('Baseline heat &amp; power'!B41)/365.25</f>
        <v>3.7687242210516918</v>
      </c>
      <c r="C23" s="5">
        <f>('Baseline heat &amp; power'!C41)/365.25</f>
        <v>2.9546797893045271</v>
      </c>
      <c r="D23" s="6"/>
    </row>
    <row r="24" spans="1:4" x14ac:dyDescent="0.3">
      <c r="A24" s="6"/>
      <c r="B24" s="6"/>
      <c r="C24" s="6"/>
      <c r="D24" s="6"/>
    </row>
    <row r="25" spans="1:4" ht="42" customHeight="1" x14ac:dyDescent="0.3">
      <c r="A25" s="109" t="s">
        <v>160</v>
      </c>
      <c r="B25" s="109"/>
      <c r="C25" s="109"/>
      <c r="D25" s="6"/>
    </row>
    <row r="26" spans="1:4" ht="42" customHeight="1" x14ac:dyDescent="0.3">
      <c r="A26" s="31"/>
      <c r="B26" s="33" t="s">
        <v>283</v>
      </c>
      <c r="C26" s="33" t="s">
        <v>284</v>
      </c>
      <c r="D26" s="34"/>
    </row>
    <row r="27" spans="1:4" ht="70.05" customHeight="1" x14ac:dyDescent="0.3">
      <c r="A27" s="6" t="s">
        <v>161</v>
      </c>
      <c r="B27" s="5">
        <f>(B16/B21)*100</f>
        <v>105.07534560050486</v>
      </c>
      <c r="C27" s="5">
        <f>(B16/C21)*100</f>
        <v>134.02467551084803</v>
      </c>
      <c r="D27" s="124" t="s">
        <v>164</v>
      </c>
    </row>
    <row r="28" spans="1:4" ht="41.4" x14ac:dyDescent="0.3">
      <c r="A28" s="6" t="s">
        <v>162</v>
      </c>
      <c r="B28" s="21">
        <f>(B17/B22)*100</f>
        <v>105.07534560050485</v>
      </c>
      <c r="C28" s="21">
        <f>(B17/C22)*100</f>
        <v>134.024675510848</v>
      </c>
      <c r="D28" s="124"/>
    </row>
    <row r="29" spans="1:4" ht="41.4" x14ac:dyDescent="0.3">
      <c r="A29" s="6" t="s">
        <v>163</v>
      </c>
      <c r="B29" s="21">
        <f>(B18/B23)*100</f>
        <v>105.07534560050486</v>
      </c>
      <c r="C29" s="21">
        <f>(B18/C23)*100</f>
        <v>134.024675510848</v>
      </c>
      <c r="D29" s="124"/>
    </row>
    <row r="31" spans="1:4" x14ac:dyDescent="0.3">
      <c r="A31" s="7" t="s">
        <v>166</v>
      </c>
    </row>
    <row r="32" spans="1:4" ht="42" customHeight="1" x14ac:dyDescent="0.3">
      <c r="A32" s="109" t="s">
        <v>190</v>
      </c>
      <c r="B32" s="109"/>
      <c r="C32" s="109"/>
    </row>
    <row r="33" spans="1:4" ht="16.05" customHeight="1" x14ac:dyDescent="0.3">
      <c r="A33" s="25"/>
      <c r="B33" s="25"/>
      <c r="C33" s="25"/>
    </row>
    <row r="34" spans="1:4" ht="97.95" customHeight="1" x14ac:dyDescent="0.3">
      <c r="A34" s="6" t="s">
        <v>176</v>
      </c>
      <c r="B34" s="6">
        <v>0.04</v>
      </c>
      <c r="C34" s="125" t="s">
        <v>177</v>
      </c>
      <c r="D34" s="125"/>
    </row>
    <row r="35" spans="1:4" ht="42.6" x14ac:dyDescent="0.35">
      <c r="A35" s="6" t="s">
        <v>167</v>
      </c>
      <c r="B35" s="6">
        <v>850</v>
      </c>
      <c r="C35" s="6" t="s">
        <v>169</v>
      </c>
    </row>
    <row r="36" spans="1:4" ht="30" x14ac:dyDescent="0.3">
      <c r="A36" s="6" t="s">
        <v>168</v>
      </c>
      <c r="B36" s="6">
        <f>B34*B35</f>
        <v>34</v>
      </c>
      <c r="C36" s="6" t="s">
        <v>44</v>
      </c>
    </row>
    <row r="37" spans="1:4" x14ac:dyDescent="0.3">
      <c r="A37" s="34"/>
      <c r="B37" s="34"/>
      <c r="C37" s="34"/>
    </row>
    <row r="38" spans="1:4" ht="27.6" x14ac:dyDescent="0.3">
      <c r="A38" s="6"/>
      <c r="B38" s="55" t="s">
        <v>283</v>
      </c>
      <c r="C38" s="55" t="s">
        <v>284</v>
      </c>
    </row>
    <row r="39" spans="1:4" ht="56.4" x14ac:dyDescent="0.3">
      <c r="A39" s="6" t="s">
        <v>171</v>
      </c>
      <c r="B39" s="9">
        <f>'Baseline heat &amp; power'!B33/'Renewable power'!B36</f>
        <v>809721.4833759591</v>
      </c>
      <c r="C39" s="9">
        <f>'Baseline heat &amp; power'!C33/'Renewable power'!B36</f>
        <v>634821.64296675194</v>
      </c>
    </row>
    <row r="40" spans="1:4" ht="55.2" x14ac:dyDescent="0.3">
      <c r="A40" s="6" t="s">
        <v>172</v>
      </c>
      <c r="B40" s="5">
        <f>B39/(90*120)</f>
        <v>74.974211423699913</v>
      </c>
      <c r="C40" s="5">
        <f>C39/(90*120)</f>
        <v>58.779781756180732</v>
      </c>
      <c r="D40" s="34" t="s">
        <v>170</v>
      </c>
    </row>
    <row r="41" spans="1:4" ht="42.6" x14ac:dyDescent="0.3">
      <c r="A41" s="6" t="s">
        <v>173</v>
      </c>
      <c r="B41" s="5">
        <f>B39/'Baseline heat &amp; power'!B3</f>
        <v>93.117970588235295</v>
      </c>
      <c r="C41" s="5">
        <f>C39/'Baseline heat &amp; power'!B3</f>
        <v>73.004488941176476</v>
      </c>
    </row>
    <row r="42" spans="1:4" ht="55.2" x14ac:dyDescent="0.3">
      <c r="A42" s="6" t="s">
        <v>174</v>
      </c>
      <c r="B42" s="23">
        <f>B40/'Baseline heat &amp; power'!B3</f>
        <v>8.6220343137254889E-3</v>
      </c>
      <c r="C42" s="23">
        <f>C40/'Baseline heat &amp; power'!B3</f>
        <v>6.7596749019607841E-3</v>
      </c>
    </row>
    <row r="43" spans="1:4" ht="42.6" x14ac:dyDescent="0.3">
      <c r="A43" s="6" t="s">
        <v>175</v>
      </c>
      <c r="B43" s="5">
        <f>B39/'Baseline heat &amp; power'!B2</f>
        <v>40.486074168797956</v>
      </c>
      <c r="C43" s="5">
        <f>C39/'Baseline heat &amp; power'!B2</f>
        <v>31.741082148337597</v>
      </c>
    </row>
    <row r="44" spans="1:4" x14ac:dyDescent="0.3">
      <c r="A44" s="6"/>
      <c r="B44" s="6"/>
      <c r="C44" s="6"/>
    </row>
    <row r="45" spans="1:4" ht="31.05" customHeight="1" x14ac:dyDescent="0.3">
      <c r="A45" s="109" t="s">
        <v>178</v>
      </c>
      <c r="B45" s="109"/>
      <c r="C45" s="109"/>
    </row>
    <row r="46" spans="1:4" x14ac:dyDescent="0.3">
      <c r="A46" s="24"/>
      <c r="B46" s="24"/>
      <c r="C46" s="24"/>
    </row>
    <row r="47" spans="1:4" x14ac:dyDescent="0.3">
      <c r="A47" s="14" t="s">
        <v>184</v>
      </c>
      <c r="B47" s="6"/>
      <c r="C47" s="6"/>
    </row>
    <row r="48" spans="1:4" ht="41.4" x14ac:dyDescent="0.3">
      <c r="A48" s="15" t="s">
        <v>179</v>
      </c>
      <c r="B48" s="9">
        <v>6000000</v>
      </c>
      <c r="C48" s="15" t="s">
        <v>181</v>
      </c>
      <c r="D48" s="3" t="s">
        <v>180</v>
      </c>
    </row>
    <row r="49" spans="1:4" ht="82.8" x14ac:dyDescent="0.3">
      <c r="A49" s="15" t="s">
        <v>182</v>
      </c>
      <c r="B49" s="8">
        <f>B48/365.25</f>
        <v>16427.104722792606</v>
      </c>
      <c r="C49" s="15" t="s">
        <v>185</v>
      </c>
      <c r="D49" s="3"/>
    </row>
    <row r="50" spans="1:4" ht="27.6" x14ac:dyDescent="0.3">
      <c r="A50" s="34"/>
      <c r="B50" s="55" t="s">
        <v>283</v>
      </c>
      <c r="C50" s="55" t="s">
        <v>284</v>
      </c>
      <c r="D50" s="3"/>
    </row>
    <row r="51" spans="1:4" ht="27.6" x14ac:dyDescent="0.3">
      <c r="A51" s="15" t="s">
        <v>183</v>
      </c>
      <c r="B51" s="56">
        <f>'Baseline heat &amp; power'!B33/'Renewable power'!B48</f>
        <v>4.5884217391304345</v>
      </c>
      <c r="C51" s="56">
        <f>'Baseline heat &amp; power'!C33/'Renewable power'!B48</f>
        <v>3.5973226434782615</v>
      </c>
      <c r="D51" s="3"/>
    </row>
    <row r="52" spans="1:4" x14ac:dyDescent="0.3">
      <c r="A52" s="15"/>
      <c r="B52" s="8"/>
      <c r="C52" s="15"/>
      <c r="D52" s="3"/>
    </row>
    <row r="53" spans="1:4" ht="27.6" x14ac:dyDescent="0.3">
      <c r="A53" s="14" t="s">
        <v>186</v>
      </c>
      <c r="B53" s="8"/>
      <c r="C53" s="15"/>
      <c r="D53" s="3"/>
    </row>
    <row r="54" spans="1:4" ht="41.4" x14ac:dyDescent="0.3">
      <c r="A54" s="15" t="s">
        <v>187</v>
      </c>
      <c r="B54" s="8">
        <v>1500</v>
      </c>
      <c r="C54" s="15"/>
      <c r="D54" s="3" t="s">
        <v>285</v>
      </c>
    </row>
    <row r="55" spans="1:4" x14ac:dyDescent="0.3">
      <c r="A55" s="34"/>
      <c r="B55" s="55"/>
      <c r="C55" s="55"/>
      <c r="D55" s="3"/>
    </row>
    <row r="56" spans="1:4" ht="41.4" x14ac:dyDescent="0.3">
      <c r="A56" s="15" t="s">
        <v>188</v>
      </c>
      <c r="B56" s="8">
        <f>'Baseline heat &amp; power'!B3/'Renewable power'!B54</f>
        <v>5.7971014492753623</v>
      </c>
      <c r="C56" s="34" t="s">
        <v>189</v>
      </c>
      <c r="D56" s="34"/>
    </row>
    <row r="57" spans="1:4" x14ac:dyDescent="0.3">
      <c r="A57" s="15"/>
      <c r="B57" s="8"/>
      <c r="C57" s="15"/>
      <c r="D57" s="3"/>
    </row>
    <row r="58" spans="1:4" x14ac:dyDescent="0.3">
      <c r="A58" s="15"/>
      <c r="B58" s="8"/>
      <c r="C58" s="15"/>
      <c r="D58" s="3"/>
    </row>
    <row r="59" spans="1:4" x14ac:dyDescent="0.3">
      <c r="A59" s="15"/>
      <c r="B59" s="3"/>
      <c r="C59" s="15"/>
      <c r="D59" s="3"/>
    </row>
    <row r="60" spans="1:4" x14ac:dyDescent="0.3">
      <c r="A60" s="15"/>
      <c r="B60" s="3"/>
      <c r="C60" s="15"/>
      <c r="D60" s="3"/>
    </row>
    <row r="61" spans="1:4" x14ac:dyDescent="0.3">
      <c r="A61" s="15"/>
      <c r="B61" s="3"/>
      <c r="C61" s="15"/>
      <c r="D61" s="3"/>
    </row>
    <row r="62" spans="1:4" x14ac:dyDescent="0.3">
      <c r="A62" s="15"/>
      <c r="B62" s="3"/>
      <c r="C62" s="15"/>
      <c r="D62" s="3"/>
    </row>
  </sheetData>
  <mergeCells count="5">
    <mergeCell ref="A25:C25"/>
    <mergeCell ref="D27:D29"/>
    <mergeCell ref="A32:C32"/>
    <mergeCell ref="C34:D34"/>
    <mergeCell ref="A45:C45"/>
  </mergeCells>
  <pageMargins left="0.75" right="0.75" top="1" bottom="1" header="0.5" footer="0.5"/>
  <pageSetup paperSize="9" orientation="portrait" horizontalDpi="4294967292" verticalDpi="4294967292"/>
  <legacy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45"/>
  <sheetViews>
    <sheetView topLeftCell="A17" workbookViewId="0">
      <selection activeCell="D32" sqref="D32"/>
    </sheetView>
  </sheetViews>
  <sheetFormatPr defaultColWidth="11" defaultRowHeight="15.6" x14ac:dyDescent="0.3"/>
  <cols>
    <col min="1" max="1" width="34.796875" customWidth="1"/>
    <col min="2" max="2" width="13.5" bestFit="1" customWidth="1"/>
    <col min="3" max="3" width="13.5" customWidth="1"/>
    <col min="4" max="4" width="60.5" customWidth="1"/>
    <col min="5" max="5" width="48" customWidth="1"/>
  </cols>
  <sheetData>
    <row r="1" spans="1:11" ht="21" x14ac:dyDescent="0.4">
      <c r="A1" s="17" t="s">
        <v>193</v>
      </c>
    </row>
    <row r="3" spans="1:11" x14ac:dyDescent="0.3">
      <c r="A3" t="s">
        <v>194</v>
      </c>
    </row>
    <row r="5" spans="1:11" x14ac:dyDescent="0.3">
      <c r="A5" s="3"/>
      <c r="B5" s="13" t="s">
        <v>198</v>
      </c>
      <c r="C5" s="13"/>
      <c r="D5" s="13" t="s">
        <v>4</v>
      </c>
      <c r="E5" s="13" t="s">
        <v>286</v>
      </c>
      <c r="F5" s="3"/>
      <c r="G5" s="3"/>
      <c r="H5" s="3"/>
      <c r="I5" s="3"/>
      <c r="J5" s="3"/>
      <c r="K5" s="3"/>
    </row>
    <row r="6" spans="1:11" x14ac:dyDescent="0.3">
      <c r="A6" s="100" t="s">
        <v>195</v>
      </c>
      <c r="B6" s="3"/>
      <c r="C6" s="3"/>
      <c r="D6" s="15"/>
      <c r="E6" s="15"/>
      <c r="F6" s="3"/>
      <c r="G6" s="3"/>
      <c r="H6" s="3"/>
      <c r="I6" s="3"/>
      <c r="J6" s="3"/>
      <c r="K6" s="3"/>
    </row>
    <row r="7" spans="1:11" ht="27.6" x14ac:dyDescent="0.3">
      <c r="A7" s="15" t="s">
        <v>196</v>
      </c>
      <c r="B7" s="3">
        <v>50</v>
      </c>
      <c r="C7" s="3"/>
      <c r="D7" s="15"/>
      <c r="E7" s="15"/>
      <c r="F7" s="3"/>
      <c r="G7" s="3"/>
      <c r="H7" s="3"/>
      <c r="I7" s="3"/>
      <c r="J7" s="3"/>
      <c r="K7" s="3"/>
    </row>
    <row r="8" spans="1:11" ht="27.6" x14ac:dyDescent="0.3">
      <c r="A8" s="15" t="s">
        <v>197</v>
      </c>
      <c r="B8" s="8">
        <f>'Renewable power'!B14</f>
        <v>200000</v>
      </c>
      <c r="C8" s="8"/>
      <c r="D8" s="15" t="s">
        <v>199</v>
      </c>
      <c r="E8" s="15"/>
      <c r="F8" s="3"/>
      <c r="G8" s="3"/>
      <c r="H8" s="3"/>
      <c r="I8" s="3"/>
      <c r="J8" s="3"/>
      <c r="K8" s="3"/>
    </row>
    <row r="9" spans="1:11" ht="30" x14ac:dyDescent="0.3">
      <c r="A9" s="15" t="s">
        <v>200</v>
      </c>
      <c r="B9" s="3">
        <f>'Renewable power'!B11</f>
        <v>110</v>
      </c>
      <c r="C9" s="3"/>
      <c r="D9" s="15"/>
      <c r="E9" s="15" t="s">
        <v>201</v>
      </c>
      <c r="F9" s="3"/>
      <c r="G9" s="3"/>
      <c r="H9" s="3"/>
      <c r="I9" s="3"/>
      <c r="J9" s="3"/>
      <c r="K9" s="3"/>
    </row>
    <row r="10" spans="1:11" ht="30" x14ac:dyDescent="0.3">
      <c r="A10" s="15" t="s">
        <v>202</v>
      </c>
      <c r="B10" s="3">
        <f>(B7/100)*B9</f>
        <v>55</v>
      </c>
      <c r="C10" s="3"/>
      <c r="D10" s="15" t="s">
        <v>203</v>
      </c>
      <c r="E10" s="15"/>
      <c r="F10" s="3"/>
      <c r="G10" s="3"/>
      <c r="H10" s="3"/>
      <c r="I10" s="3"/>
      <c r="J10" s="3"/>
      <c r="K10" s="3"/>
    </row>
    <row r="11" spans="1:11" ht="41.4" x14ac:dyDescent="0.3">
      <c r="A11" s="15" t="s">
        <v>204</v>
      </c>
      <c r="B11" s="8">
        <f>(B10*B8)/1000</f>
        <v>11000</v>
      </c>
      <c r="C11" s="8"/>
      <c r="D11" s="15" t="s">
        <v>205</v>
      </c>
      <c r="E11" s="15"/>
      <c r="F11" s="3"/>
      <c r="G11" s="3"/>
      <c r="H11" s="3"/>
      <c r="I11" s="3"/>
      <c r="J11" s="3"/>
      <c r="K11" s="3"/>
    </row>
    <row r="12" spans="1:11" ht="142.05000000000001" customHeight="1" x14ac:dyDescent="0.3">
      <c r="A12" s="15" t="s">
        <v>206</v>
      </c>
      <c r="B12" s="8">
        <f>B11*24</f>
        <v>264000</v>
      </c>
      <c r="C12" s="8"/>
      <c r="D12" s="126" t="s">
        <v>209</v>
      </c>
      <c r="E12" s="15"/>
      <c r="F12" s="3"/>
      <c r="G12" s="3"/>
      <c r="H12" s="3"/>
      <c r="I12" s="3"/>
      <c r="J12" s="3"/>
      <c r="K12" s="3"/>
    </row>
    <row r="13" spans="1:11" x14ac:dyDescent="0.3">
      <c r="A13" s="15" t="s">
        <v>207</v>
      </c>
      <c r="B13" s="21">
        <f>B12/'Baseline heat &amp; power'!B3</f>
        <v>30.36</v>
      </c>
      <c r="C13" s="21"/>
      <c r="D13" s="126"/>
      <c r="E13" s="15"/>
      <c r="F13" s="3"/>
      <c r="G13" s="3"/>
      <c r="H13" s="3"/>
      <c r="I13" s="3"/>
      <c r="J13" s="3"/>
      <c r="K13" s="3"/>
    </row>
    <row r="14" spans="1:11" ht="15" customHeight="1" x14ac:dyDescent="0.3">
      <c r="A14" s="15" t="s">
        <v>208</v>
      </c>
      <c r="B14" s="21">
        <f>B12/'Baseline heat &amp; power'!B2</f>
        <v>13.2</v>
      </c>
      <c r="C14" s="21"/>
      <c r="D14" s="126"/>
      <c r="E14" s="15"/>
      <c r="F14" s="3"/>
      <c r="G14" s="3"/>
      <c r="H14" s="3"/>
      <c r="I14" s="3"/>
      <c r="J14" s="3"/>
      <c r="K14" s="3"/>
    </row>
    <row r="15" spans="1:11" x14ac:dyDescent="0.3">
      <c r="A15" s="15"/>
      <c r="B15" s="3"/>
      <c r="C15" s="3"/>
      <c r="D15" s="15"/>
      <c r="E15" s="15"/>
      <c r="F15" s="3"/>
      <c r="G15" s="3"/>
      <c r="H15" s="3"/>
      <c r="I15" s="3"/>
      <c r="J15" s="3"/>
      <c r="K15" s="3"/>
    </row>
    <row r="16" spans="1:11" ht="41.4" x14ac:dyDescent="0.3">
      <c r="A16" s="16" t="s">
        <v>210</v>
      </c>
      <c r="B16" s="33" t="s">
        <v>283</v>
      </c>
      <c r="C16" s="33" t="s">
        <v>284</v>
      </c>
      <c r="D16" s="15"/>
      <c r="E16" s="15"/>
      <c r="F16" s="3"/>
      <c r="G16" s="3"/>
      <c r="H16" s="3"/>
      <c r="I16" s="3"/>
      <c r="J16" s="3"/>
      <c r="K16" s="3"/>
    </row>
    <row r="17" spans="1:11" ht="41.4" x14ac:dyDescent="0.3">
      <c r="A17" s="15" t="s">
        <v>211</v>
      </c>
      <c r="B17" s="8">
        <f>'Baseline heat &amp; power'!B29+'Baseline heat &amp; power'!B19+((92.5/100)*'Baseline heat &amp; power'!B30)</f>
        <v>97928921.739130422</v>
      </c>
      <c r="C17" s="8">
        <f>'Baseline heat &amp; power'!C29+'Baseline heat &amp; power'!C19+((92.5/100)*'Baseline heat &amp; power'!C30)</f>
        <v>74425980.521739125</v>
      </c>
      <c r="D17" s="15" t="s">
        <v>215</v>
      </c>
      <c r="E17" s="15"/>
      <c r="F17" s="3"/>
      <c r="G17" s="3"/>
      <c r="H17" s="3"/>
      <c r="I17" s="3"/>
      <c r="J17" s="3"/>
      <c r="K17" s="3"/>
    </row>
    <row r="18" spans="1:11" ht="27.6" x14ac:dyDescent="0.3">
      <c r="A18" s="15" t="s">
        <v>212</v>
      </c>
      <c r="B18" s="3">
        <v>15</v>
      </c>
      <c r="C18" s="3">
        <f>B18</f>
        <v>15</v>
      </c>
      <c r="D18" s="15" t="s">
        <v>213</v>
      </c>
      <c r="E18" s="15" t="s">
        <v>214</v>
      </c>
      <c r="F18" s="3"/>
      <c r="G18" s="3"/>
      <c r="H18" s="3"/>
      <c r="I18" s="3"/>
      <c r="J18" s="3"/>
      <c r="K18" s="3"/>
    </row>
    <row r="19" spans="1:11" ht="27.6" x14ac:dyDescent="0.3">
      <c r="A19" s="15" t="s">
        <v>216</v>
      </c>
      <c r="B19" s="8">
        <f>B17*(15/100)</f>
        <v>14689338.260869563</v>
      </c>
      <c r="C19" s="8">
        <f>C17*(15/100)</f>
        <v>11163897.078260869</v>
      </c>
      <c r="D19" s="15"/>
      <c r="E19" s="15"/>
      <c r="F19" s="3"/>
      <c r="G19" s="3"/>
      <c r="H19" s="3"/>
      <c r="I19" s="3"/>
      <c r="J19" s="3"/>
      <c r="K19" s="3"/>
    </row>
    <row r="20" spans="1:11" ht="27.6" x14ac:dyDescent="0.3">
      <c r="A20" s="15" t="s">
        <v>217</v>
      </c>
      <c r="B20" s="3">
        <v>80</v>
      </c>
      <c r="C20" s="3">
        <f>B20</f>
        <v>80</v>
      </c>
      <c r="D20" s="15" t="s">
        <v>218</v>
      </c>
      <c r="E20" s="15"/>
      <c r="F20" s="3"/>
      <c r="G20" s="3"/>
      <c r="H20" s="3"/>
      <c r="I20" s="3"/>
      <c r="J20" s="3"/>
      <c r="K20" s="3"/>
    </row>
    <row r="21" spans="1:11" ht="27.6" x14ac:dyDescent="0.3">
      <c r="A21" s="15" t="s">
        <v>219</v>
      </c>
      <c r="B21" s="8">
        <f>B19*(100/80)</f>
        <v>18361672.826086953</v>
      </c>
      <c r="C21" s="8">
        <f>C19*(100/80)</f>
        <v>13954871.347826086</v>
      </c>
      <c r="D21" s="15"/>
      <c r="E21" s="15"/>
      <c r="F21" s="3"/>
      <c r="G21" s="3"/>
      <c r="H21" s="3"/>
      <c r="I21" s="3"/>
      <c r="J21" s="3"/>
      <c r="K21" s="3"/>
    </row>
    <row r="22" spans="1:11" ht="82.8" x14ac:dyDescent="0.3">
      <c r="A22" s="15" t="s">
        <v>221</v>
      </c>
      <c r="B22" s="3">
        <v>10.3</v>
      </c>
      <c r="C22" s="3">
        <f>B22</f>
        <v>10.3</v>
      </c>
      <c r="D22" s="15"/>
      <c r="E22" s="15" t="s">
        <v>220</v>
      </c>
      <c r="F22" s="3"/>
      <c r="G22" s="3"/>
      <c r="H22" s="3"/>
      <c r="I22" s="3"/>
      <c r="J22" s="3"/>
      <c r="K22" s="3"/>
    </row>
    <row r="23" spans="1:11" ht="41.4" x14ac:dyDescent="0.3">
      <c r="A23" s="15" t="s">
        <v>222</v>
      </c>
      <c r="B23" s="3">
        <v>46</v>
      </c>
      <c r="C23" s="3">
        <f>B23</f>
        <v>46</v>
      </c>
      <c r="D23" s="3"/>
      <c r="E23" s="3" t="s">
        <v>223</v>
      </c>
      <c r="F23" s="3"/>
      <c r="G23" s="3"/>
      <c r="H23" s="3"/>
      <c r="I23" s="3"/>
      <c r="J23" s="3"/>
      <c r="K23" s="3"/>
    </row>
    <row r="24" spans="1:11" ht="27.6" x14ac:dyDescent="0.3">
      <c r="A24" s="15" t="s">
        <v>224</v>
      </c>
      <c r="B24" s="8">
        <f>(B21/1000)/B22</f>
        <v>1782.6866821443643</v>
      </c>
      <c r="C24" s="8">
        <f>(C21/1000)/C22</f>
        <v>1354.8418784297169</v>
      </c>
      <c r="D24" s="3" t="s">
        <v>44</v>
      </c>
      <c r="E24" s="3"/>
      <c r="F24" s="3"/>
      <c r="G24" s="3"/>
      <c r="H24" s="3"/>
      <c r="I24" s="3"/>
      <c r="J24" s="3"/>
      <c r="K24" s="3"/>
    </row>
    <row r="25" spans="1:11" ht="28.8" x14ac:dyDescent="0.3">
      <c r="A25" s="15" t="s">
        <v>225</v>
      </c>
      <c r="B25" s="8">
        <f>B24*0.01</f>
        <v>17.826866821443645</v>
      </c>
      <c r="C25" s="8">
        <f>C24*0.01</f>
        <v>13.548418784297169</v>
      </c>
      <c r="D25" s="3" t="s">
        <v>44</v>
      </c>
      <c r="E25" s="3"/>
      <c r="F25" s="3"/>
      <c r="G25" s="3"/>
      <c r="H25" s="3"/>
      <c r="I25" s="3"/>
      <c r="J25" s="3"/>
      <c r="K25" s="3"/>
    </row>
    <row r="26" spans="1:11" ht="27.6" x14ac:dyDescent="0.3">
      <c r="A26" s="15" t="s">
        <v>226</v>
      </c>
      <c r="B26" s="8">
        <f>(B21/1000)/B23</f>
        <v>399.16680056710766</v>
      </c>
      <c r="C26" s="8">
        <f>(C21/1000)/C23</f>
        <v>303.36676843100184</v>
      </c>
      <c r="D26" s="3" t="s">
        <v>44</v>
      </c>
      <c r="E26" s="3"/>
    </row>
    <row r="27" spans="1:11" ht="28.8" x14ac:dyDescent="0.3">
      <c r="A27" s="15" t="s">
        <v>227</v>
      </c>
      <c r="B27" s="8">
        <f>B26*0.01</f>
        <v>3.9916680056710767</v>
      </c>
      <c r="C27" s="8">
        <f>C26*0.01</f>
        <v>3.0336676843100183</v>
      </c>
      <c r="D27" s="3" t="s">
        <v>44</v>
      </c>
      <c r="E27" s="3"/>
    </row>
    <row r="28" spans="1:11" x14ac:dyDescent="0.3">
      <c r="A28" s="15"/>
      <c r="B28" s="3"/>
      <c r="C28" s="3"/>
      <c r="D28" s="3"/>
      <c r="E28" s="3"/>
    </row>
    <row r="29" spans="1:11" x14ac:dyDescent="0.3">
      <c r="A29" s="13" t="s">
        <v>228</v>
      </c>
      <c r="B29" s="3"/>
      <c r="C29" s="3"/>
      <c r="D29" s="3"/>
      <c r="E29" s="3"/>
    </row>
    <row r="30" spans="1:11" ht="41.4" x14ac:dyDescent="0.3">
      <c r="A30" s="15" t="s">
        <v>230</v>
      </c>
      <c r="B30" s="8">
        <f>B19</f>
        <v>14689338.260869563</v>
      </c>
      <c r="C30" s="8">
        <f>C19</f>
        <v>11163897.078260869</v>
      </c>
      <c r="D30" s="3"/>
      <c r="E30" s="3"/>
    </row>
    <row r="31" spans="1:11" ht="27.6" x14ac:dyDescent="0.3">
      <c r="A31" s="15" t="s">
        <v>234</v>
      </c>
      <c r="B31" s="8">
        <f>B17-B19</f>
        <v>83239583.47826086</v>
      </c>
      <c r="C31" s="8">
        <f>C17-C19</f>
        <v>63262083.443478256</v>
      </c>
      <c r="D31" s="3"/>
      <c r="E31" s="3"/>
    </row>
    <row r="32" spans="1:11" ht="41.4" x14ac:dyDescent="0.3">
      <c r="A32" s="15" t="s">
        <v>229</v>
      </c>
      <c r="B32" s="3">
        <v>3</v>
      </c>
      <c r="C32" s="3">
        <f>B32</f>
        <v>3</v>
      </c>
      <c r="D32" s="97" t="s">
        <v>418</v>
      </c>
      <c r="E32" s="3"/>
    </row>
    <row r="33" spans="1:5" ht="27.6" x14ac:dyDescent="0.3">
      <c r="A33" s="15" t="s">
        <v>231</v>
      </c>
      <c r="B33" s="8">
        <f>B31/B32</f>
        <v>27746527.826086953</v>
      </c>
      <c r="C33" s="8">
        <f>C31/C32</f>
        <v>21087361.147826087</v>
      </c>
      <c r="D33" s="15"/>
      <c r="E33" s="3"/>
    </row>
    <row r="34" spans="1:5" ht="55.2" x14ac:dyDescent="0.3">
      <c r="A34" s="15" t="s">
        <v>232</v>
      </c>
      <c r="B34" s="8">
        <f>(B33/'Baseline heat &amp; power'!B3)/365.25</f>
        <v>8.7360731006160144</v>
      </c>
      <c r="C34" s="8">
        <f>(C33/'Baseline heat &amp; power'!B3)/365.25</f>
        <v>6.6394155564681725</v>
      </c>
      <c r="D34" s="15" t="s">
        <v>235</v>
      </c>
      <c r="E34" s="3"/>
    </row>
    <row r="35" spans="1:5" ht="27.6" x14ac:dyDescent="0.3">
      <c r="A35" s="15" t="s">
        <v>233</v>
      </c>
      <c r="B35" s="8">
        <f>B33/'Baseline heat &amp; power'!B2/365.25</f>
        <v>3.798292652441746</v>
      </c>
      <c r="C35" s="8">
        <f>C33/'Baseline heat &amp; power'!B2/365.25</f>
        <v>2.8867024158557273</v>
      </c>
      <c r="D35" s="15"/>
      <c r="E35" s="3"/>
    </row>
    <row r="36" spans="1:5" x14ac:dyDescent="0.3">
      <c r="A36" s="15"/>
      <c r="B36" s="8"/>
      <c r="C36" s="8"/>
      <c r="D36" s="15"/>
      <c r="E36" s="3"/>
    </row>
    <row r="37" spans="1:5" x14ac:dyDescent="0.3">
      <c r="A37" s="15"/>
      <c r="B37" s="8"/>
      <c r="C37" s="8"/>
      <c r="D37" s="15"/>
      <c r="E37" s="3"/>
    </row>
    <row r="38" spans="1:5" x14ac:dyDescent="0.3">
      <c r="A38" s="15"/>
      <c r="B38" s="8"/>
      <c r="C38" s="8"/>
      <c r="D38" s="15"/>
      <c r="E38" s="3"/>
    </row>
    <row r="39" spans="1:5" x14ac:dyDescent="0.3">
      <c r="A39" s="15"/>
      <c r="B39" s="8"/>
      <c r="C39" s="8"/>
      <c r="D39" s="15"/>
      <c r="E39" s="3"/>
    </row>
    <row r="40" spans="1:5" x14ac:dyDescent="0.3">
      <c r="A40" s="15"/>
      <c r="B40" s="8"/>
      <c r="C40" s="8"/>
      <c r="D40" s="15"/>
      <c r="E40" s="3"/>
    </row>
    <row r="41" spans="1:5" x14ac:dyDescent="0.3">
      <c r="A41" s="3"/>
      <c r="B41" s="8"/>
      <c r="C41" s="8"/>
      <c r="D41" s="15"/>
      <c r="E41" s="3"/>
    </row>
    <row r="42" spans="1:5" x14ac:dyDescent="0.3">
      <c r="A42" s="3"/>
      <c r="B42" s="8"/>
      <c r="C42" s="8"/>
      <c r="D42" s="15"/>
      <c r="E42" s="3"/>
    </row>
    <row r="43" spans="1:5" x14ac:dyDescent="0.3">
      <c r="A43" s="3"/>
      <c r="B43" s="3"/>
      <c r="C43" s="3"/>
      <c r="D43" s="15"/>
      <c r="E43" s="3"/>
    </row>
    <row r="44" spans="1:5" x14ac:dyDescent="0.3">
      <c r="A44" s="3"/>
      <c r="B44" s="3"/>
      <c r="C44" s="3"/>
      <c r="D44" s="15"/>
      <c r="E44" s="3"/>
    </row>
    <row r="45" spans="1:5" x14ac:dyDescent="0.3">
      <c r="A45" s="3"/>
      <c r="B45" s="3"/>
      <c r="C45" s="3"/>
      <c r="D45" s="15"/>
      <c r="E45" s="3"/>
    </row>
  </sheetData>
  <mergeCells count="1">
    <mergeCell ref="D12:D14"/>
  </mergeCells>
  <pageMargins left="0.75" right="0.75" top="1" bottom="1" header="0.5" footer="0.5"/>
  <legacy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5"/>
  <sheetViews>
    <sheetView workbookViewId="0">
      <selection activeCell="C9" sqref="C9"/>
    </sheetView>
  </sheetViews>
  <sheetFormatPr defaultColWidth="11" defaultRowHeight="15.6" x14ac:dyDescent="0.3"/>
  <cols>
    <col min="1" max="1" width="21.69921875" customWidth="1"/>
    <col min="2" max="2" width="11" bestFit="1" customWidth="1"/>
    <col min="3" max="3" width="11" customWidth="1"/>
    <col min="4" max="4" width="43.296875" customWidth="1"/>
  </cols>
  <sheetData>
    <row r="1" spans="1:9" x14ac:dyDescent="0.3">
      <c r="A1" s="2" t="s">
        <v>341</v>
      </c>
    </row>
    <row r="4" spans="1:9" s="3" customFormat="1" ht="41.4" x14ac:dyDescent="0.3">
      <c r="B4" s="37" t="s">
        <v>283</v>
      </c>
      <c r="C4" s="37" t="s">
        <v>284</v>
      </c>
      <c r="D4" s="3" t="s">
        <v>4</v>
      </c>
    </row>
    <row r="5" spans="1:9" ht="28.8" x14ac:dyDescent="0.3">
      <c r="A5" s="37" t="s">
        <v>354</v>
      </c>
      <c r="B5" s="8">
        <f>'Start here'!J14</f>
        <v>221547019.49328864</v>
      </c>
      <c r="C5" s="8">
        <f>'Start here'!K14</f>
        <v>192059805.78894082</v>
      </c>
      <c r="D5" s="3"/>
      <c r="E5" s="3"/>
      <c r="F5" s="3"/>
      <c r="G5" s="3"/>
      <c r="H5" s="3"/>
      <c r="I5" s="3"/>
    </row>
    <row r="6" spans="1:9" ht="41.4" x14ac:dyDescent="0.3">
      <c r="A6" s="37" t="s">
        <v>355</v>
      </c>
      <c r="B6" s="3">
        <v>1</v>
      </c>
      <c r="C6" s="3">
        <v>1</v>
      </c>
      <c r="D6" s="37" t="s">
        <v>356</v>
      </c>
      <c r="E6" s="3"/>
      <c r="F6" s="3"/>
      <c r="G6" s="3"/>
      <c r="H6" s="3"/>
      <c r="I6" s="3"/>
    </row>
    <row r="7" spans="1:9" ht="27.6" x14ac:dyDescent="0.3">
      <c r="A7" s="97" t="s">
        <v>419</v>
      </c>
      <c r="B7" s="3">
        <f>'Start here'!B8</f>
        <v>40</v>
      </c>
      <c r="C7" s="3">
        <f>'Start here'!B8</f>
        <v>40</v>
      </c>
      <c r="D7" s="37"/>
      <c r="E7" s="3"/>
      <c r="F7" s="3"/>
      <c r="G7" s="3"/>
      <c r="H7" s="3"/>
      <c r="I7" s="3"/>
    </row>
    <row r="8" spans="1:9" ht="55.2" x14ac:dyDescent="0.3">
      <c r="A8" s="37" t="s">
        <v>343</v>
      </c>
      <c r="B8" s="3">
        <f>(LOG10(B6/B5))/B7</f>
        <v>-0.20863664779438315</v>
      </c>
      <c r="C8" s="3">
        <f>(LOG10(C6/C5))/C7</f>
        <v>-0.20708591213422506</v>
      </c>
      <c r="D8" s="37" t="s">
        <v>344</v>
      </c>
      <c r="E8" s="3"/>
      <c r="F8" s="3"/>
      <c r="G8" s="3"/>
      <c r="H8" s="3"/>
      <c r="I8" s="3"/>
    </row>
    <row r="9" spans="1:9" ht="27.6" x14ac:dyDescent="0.3">
      <c r="A9" s="37" t="s">
        <v>345</v>
      </c>
      <c r="B9" s="3">
        <f>POWER(10,B8)</f>
        <v>0.61853367953214222</v>
      </c>
      <c r="C9" s="3">
        <f>POWER(10,C8)</f>
        <v>0.6207462260653327</v>
      </c>
      <c r="D9" s="37" t="s">
        <v>346</v>
      </c>
      <c r="E9" s="3"/>
      <c r="F9" s="3"/>
      <c r="G9" s="3"/>
      <c r="H9" s="3"/>
      <c r="I9" s="3"/>
    </row>
    <row r="10" spans="1:9" ht="55.2" x14ac:dyDescent="0.3">
      <c r="A10" s="37" t="s">
        <v>347</v>
      </c>
      <c r="B10" s="21">
        <f>100-(B9*100)</f>
        <v>38.146632046785776</v>
      </c>
      <c r="C10" s="21">
        <f>100-(C9*100)</f>
        <v>37.925377393466732</v>
      </c>
      <c r="D10" s="37"/>
      <c r="E10" s="3"/>
      <c r="F10" s="3"/>
      <c r="G10" s="3"/>
      <c r="H10" s="3"/>
      <c r="I10" s="3"/>
    </row>
    <row r="11" spans="1:9" x14ac:dyDescent="0.3">
      <c r="A11" s="37"/>
      <c r="B11" s="3"/>
      <c r="C11" s="3"/>
      <c r="D11" s="37"/>
      <c r="E11" s="3"/>
      <c r="F11" s="3"/>
      <c r="G11" s="3"/>
      <c r="H11" s="3"/>
      <c r="I11" s="3"/>
    </row>
    <row r="12" spans="1:9" x14ac:dyDescent="0.3">
      <c r="A12" s="37"/>
      <c r="B12" s="3"/>
      <c r="C12" s="3"/>
      <c r="D12" s="37"/>
      <c r="E12" s="3"/>
      <c r="F12" s="3"/>
      <c r="G12" s="3"/>
      <c r="H12" s="3"/>
      <c r="I12" s="3"/>
    </row>
    <row r="13" spans="1:9" x14ac:dyDescent="0.3">
      <c r="A13" s="37"/>
      <c r="B13" s="3"/>
      <c r="C13" s="3"/>
      <c r="D13" s="37"/>
      <c r="E13" s="3"/>
      <c r="F13" s="3"/>
      <c r="G13" s="3"/>
      <c r="H13" s="3"/>
      <c r="I13" s="3"/>
    </row>
    <row r="14" spans="1:9" x14ac:dyDescent="0.3">
      <c r="A14" s="37"/>
      <c r="B14" s="3"/>
      <c r="C14" s="3"/>
      <c r="D14" s="37"/>
      <c r="E14" s="3"/>
      <c r="F14" s="3"/>
      <c r="G14" s="3"/>
      <c r="H14" s="3"/>
      <c r="I14" s="3"/>
    </row>
    <row r="15" spans="1:9" x14ac:dyDescent="0.3">
      <c r="A15" s="37"/>
      <c r="B15" s="3"/>
      <c r="C15" s="3"/>
      <c r="D15" s="37"/>
      <c r="E15" s="3"/>
      <c r="F15" s="3"/>
      <c r="G15" s="3"/>
      <c r="H15" s="3"/>
      <c r="I15" s="3"/>
    </row>
    <row r="16" spans="1:9" x14ac:dyDescent="0.3">
      <c r="A16" s="37"/>
      <c r="B16" s="3"/>
      <c r="C16" s="3"/>
      <c r="D16" s="37"/>
      <c r="E16" s="3"/>
      <c r="F16" s="3"/>
      <c r="G16" s="3"/>
      <c r="H16" s="3"/>
      <c r="I16" s="3"/>
    </row>
    <row r="17" spans="1:9" x14ac:dyDescent="0.3">
      <c r="A17" s="37"/>
      <c r="B17" s="3"/>
      <c r="C17" s="3"/>
      <c r="D17" s="37"/>
      <c r="E17" s="3"/>
      <c r="F17" s="3"/>
      <c r="G17" s="3"/>
      <c r="H17" s="3"/>
      <c r="I17" s="3"/>
    </row>
    <row r="18" spans="1:9" x14ac:dyDescent="0.3">
      <c r="A18" s="37"/>
      <c r="B18" s="3"/>
      <c r="C18" s="3"/>
      <c r="D18" s="37"/>
      <c r="E18" s="3"/>
      <c r="F18" s="3"/>
      <c r="G18" s="3"/>
      <c r="H18" s="3"/>
      <c r="I18" s="3"/>
    </row>
    <row r="19" spans="1:9" x14ac:dyDescent="0.3">
      <c r="A19" s="37"/>
      <c r="B19" s="3"/>
      <c r="C19" s="3"/>
      <c r="D19" s="3"/>
      <c r="E19" s="3"/>
      <c r="F19" s="3"/>
      <c r="G19" s="3"/>
      <c r="H19" s="3"/>
      <c r="I19" s="3"/>
    </row>
    <row r="20" spans="1:9" x14ac:dyDescent="0.3">
      <c r="A20" s="37"/>
      <c r="B20" s="3"/>
      <c r="C20" s="3"/>
      <c r="D20" s="3"/>
      <c r="E20" s="3"/>
      <c r="F20" s="3"/>
      <c r="G20" s="3"/>
      <c r="H20" s="3"/>
      <c r="I20" s="3"/>
    </row>
    <row r="21" spans="1:9" x14ac:dyDescent="0.3">
      <c r="A21" s="37"/>
      <c r="B21" s="3"/>
      <c r="C21" s="3"/>
      <c r="D21" s="3"/>
      <c r="E21" s="3"/>
      <c r="F21" s="3"/>
      <c r="G21" s="3"/>
      <c r="H21" s="3"/>
      <c r="I21" s="3"/>
    </row>
    <row r="22" spans="1:9" x14ac:dyDescent="0.3">
      <c r="A22" s="37"/>
      <c r="B22" s="3"/>
      <c r="C22" s="3"/>
      <c r="D22" s="3"/>
      <c r="E22" s="3"/>
      <c r="F22" s="3"/>
      <c r="G22" s="3"/>
      <c r="H22" s="3"/>
      <c r="I22" s="3"/>
    </row>
    <row r="23" spans="1:9" x14ac:dyDescent="0.3">
      <c r="A23" s="3"/>
      <c r="B23" s="3"/>
      <c r="C23" s="3"/>
      <c r="D23" s="3"/>
      <c r="E23" s="3"/>
      <c r="F23" s="3"/>
      <c r="G23" s="3"/>
      <c r="H23" s="3"/>
      <c r="I23" s="3"/>
    </row>
    <row r="24" spans="1:9" x14ac:dyDescent="0.3">
      <c r="A24" s="3"/>
      <c r="B24" s="3"/>
      <c r="C24" s="3"/>
      <c r="D24" s="3"/>
      <c r="E24" s="3"/>
      <c r="F24" s="3"/>
      <c r="G24" s="3"/>
      <c r="H24" s="3"/>
      <c r="I24" s="3"/>
    </row>
    <row r="25" spans="1:9" x14ac:dyDescent="0.3">
      <c r="A25" s="3"/>
      <c r="B25" s="3"/>
      <c r="C25" s="3"/>
      <c r="D25" s="3"/>
      <c r="E25" s="3"/>
      <c r="F25" s="3"/>
      <c r="G25" s="3"/>
      <c r="H25" s="3"/>
      <c r="I25" s="3"/>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17"/>
  <sheetViews>
    <sheetView topLeftCell="A21" zoomScale="75" zoomScaleNormal="75" zoomScalePageLayoutView="75" workbookViewId="0">
      <selection activeCell="Q67" sqref="Q67"/>
    </sheetView>
  </sheetViews>
  <sheetFormatPr defaultColWidth="11" defaultRowHeight="15.6" x14ac:dyDescent="0.3"/>
  <sheetData>
    <row r="1" spans="1:13" ht="21" x14ac:dyDescent="0.4">
      <c r="A1" s="17" t="s">
        <v>357</v>
      </c>
    </row>
    <row r="3" spans="1:13" x14ac:dyDescent="0.3">
      <c r="A3" s="13" t="s">
        <v>358</v>
      </c>
      <c r="J3" s="13" t="s">
        <v>361</v>
      </c>
    </row>
    <row r="4" spans="1:13" x14ac:dyDescent="0.3">
      <c r="A4" s="13"/>
      <c r="J4" s="13" t="s">
        <v>362</v>
      </c>
      <c r="K4" s="3">
        <f>'Start here'!K6</f>
        <v>0.5</v>
      </c>
      <c r="L4" s="78" t="s">
        <v>363</v>
      </c>
      <c r="M4" s="3" t="s">
        <v>364</v>
      </c>
    </row>
    <row r="22" spans="1:13" ht="21" x14ac:dyDescent="0.4">
      <c r="A22" s="17" t="s">
        <v>369</v>
      </c>
    </row>
    <row r="23" spans="1:13" s="3" customFormat="1" ht="69" x14ac:dyDescent="0.3">
      <c r="A23" s="36" t="s">
        <v>367</v>
      </c>
      <c r="B23" s="3">
        <f>'Start here'!K6</f>
        <v>0.5</v>
      </c>
      <c r="C23" s="78" t="s">
        <v>363</v>
      </c>
      <c r="D23" s="3" t="s">
        <v>364</v>
      </c>
      <c r="J23" s="36" t="s">
        <v>368</v>
      </c>
      <c r="K23" s="3">
        <f>'Start here'!K6</f>
        <v>0.5</v>
      </c>
      <c r="L23" s="78" t="s">
        <v>363</v>
      </c>
      <c r="M23" s="3" t="s">
        <v>364</v>
      </c>
    </row>
    <row r="44" spans="1:17" ht="21" x14ac:dyDescent="0.4">
      <c r="A44" s="17" t="s">
        <v>370</v>
      </c>
    </row>
    <row r="45" spans="1:17" ht="69" x14ac:dyDescent="0.3">
      <c r="A45" s="36" t="s">
        <v>367</v>
      </c>
      <c r="B45" s="3">
        <f>'Start here'!K6</f>
        <v>0.5</v>
      </c>
      <c r="C45" s="78" t="s">
        <v>363</v>
      </c>
      <c r="D45" s="3" t="s">
        <v>364</v>
      </c>
      <c r="F45" s="125" t="s">
        <v>371</v>
      </c>
      <c r="G45" s="125"/>
      <c r="H45" s="125"/>
      <c r="J45" s="100" t="s">
        <v>420</v>
      </c>
      <c r="K45" s="3">
        <f>'Start here'!K6</f>
        <v>0.5</v>
      </c>
      <c r="L45" s="78" t="s">
        <v>363</v>
      </c>
      <c r="M45" s="3" t="s">
        <v>364</v>
      </c>
      <c r="O45" s="125" t="s">
        <v>371</v>
      </c>
      <c r="P45" s="125"/>
      <c r="Q45" s="125"/>
    </row>
    <row r="68" spans="1:17" ht="24.6" x14ac:dyDescent="0.55000000000000004">
      <c r="A68" s="17" t="s">
        <v>372</v>
      </c>
    </row>
    <row r="69" spans="1:17" ht="69" x14ac:dyDescent="0.3">
      <c r="A69" s="36" t="s">
        <v>367</v>
      </c>
      <c r="B69" s="3">
        <f>'Start here'!K6</f>
        <v>0.5</v>
      </c>
      <c r="C69" s="78" t="s">
        <v>363</v>
      </c>
      <c r="D69" s="3" t="s">
        <v>364</v>
      </c>
      <c r="F69" s="125" t="s">
        <v>371</v>
      </c>
      <c r="G69" s="125"/>
      <c r="H69" s="125"/>
      <c r="J69" s="36" t="s">
        <v>368</v>
      </c>
      <c r="K69" s="3">
        <f>'Start here'!K6</f>
        <v>0.5</v>
      </c>
      <c r="L69" s="78" t="s">
        <v>363</v>
      </c>
      <c r="M69" s="3" t="s">
        <v>364</v>
      </c>
      <c r="O69" s="125" t="s">
        <v>371</v>
      </c>
      <c r="P69" s="125"/>
      <c r="Q69" s="125"/>
    </row>
    <row r="90" spans="1:17" ht="24.6" x14ac:dyDescent="0.55000000000000004">
      <c r="A90" s="17" t="s">
        <v>373</v>
      </c>
    </row>
    <row r="91" spans="1:17" ht="69" x14ac:dyDescent="0.3">
      <c r="A91" s="36" t="s">
        <v>367</v>
      </c>
      <c r="B91" s="3">
        <f>'Start here'!K6</f>
        <v>0.5</v>
      </c>
      <c r="C91" s="78" t="s">
        <v>363</v>
      </c>
      <c r="D91" s="3" t="s">
        <v>364</v>
      </c>
      <c r="F91" s="125" t="s">
        <v>371</v>
      </c>
      <c r="G91" s="125"/>
      <c r="H91" s="125"/>
      <c r="J91" s="36" t="s">
        <v>368</v>
      </c>
      <c r="K91" s="3">
        <f>'Start here'!K6</f>
        <v>0.5</v>
      </c>
      <c r="L91" s="78" t="s">
        <v>363</v>
      </c>
      <c r="M91" s="3" t="s">
        <v>364</v>
      </c>
      <c r="O91" s="125" t="s">
        <v>371</v>
      </c>
      <c r="P91" s="125"/>
      <c r="Q91" s="125"/>
    </row>
    <row r="115" spans="1:17" ht="24.6" x14ac:dyDescent="0.55000000000000004">
      <c r="A115" s="17" t="s">
        <v>375</v>
      </c>
    </row>
    <row r="116" spans="1:17" ht="69" x14ac:dyDescent="0.3">
      <c r="A116" s="36" t="s">
        <v>367</v>
      </c>
      <c r="B116" s="3">
        <f>'Start here'!K6</f>
        <v>0.5</v>
      </c>
      <c r="C116" s="78" t="s">
        <v>363</v>
      </c>
      <c r="D116" s="3" t="s">
        <v>364</v>
      </c>
      <c r="F116" s="125" t="s">
        <v>371</v>
      </c>
      <c r="G116" s="125"/>
      <c r="H116" s="125"/>
      <c r="J116" s="36" t="s">
        <v>368</v>
      </c>
      <c r="K116" s="3">
        <f>'Start here'!K6</f>
        <v>0.5</v>
      </c>
      <c r="L116" s="78" t="s">
        <v>363</v>
      </c>
      <c r="M116" s="3" t="s">
        <v>364</v>
      </c>
      <c r="O116" s="125" t="s">
        <v>371</v>
      </c>
      <c r="P116" s="125"/>
      <c r="Q116" s="125"/>
    </row>
    <row r="117" spans="1:17" ht="21" x14ac:dyDescent="0.4">
      <c r="A117" s="17"/>
    </row>
  </sheetData>
  <mergeCells count="8">
    <mergeCell ref="F116:H116"/>
    <mergeCell ref="O116:Q116"/>
    <mergeCell ref="F45:H45"/>
    <mergeCell ref="O45:Q45"/>
    <mergeCell ref="F69:H69"/>
    <mergeCell ref="O69:Q69"/>
    <mergeCell ref="F91:H91"/>
    <mergeCell ref="O91:Q91"/>
  </mergeCells>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zoomScale="120" zoomScaleNormal="120" zoomScalePageLayoutView="120" workbookViewId="0">
      <selection activeCell="E10" sqref="E10"/>
    </sheetView>
  </sheetViews>
  <sheetFormatPr defaultColWidth="11" defaultRowHeight="15.6" x14ac:dyDescent="0.3"/>
  <sheetData>
    <row r="1" spans="1:1" x14ac:dyDescent="0.3">
      <c r="A1" t="s">
        <v>263</v>
      </c>
    </row>
  </sheetData>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Read this first</vt:lpstr>
      <vt:lpstr>Start here</vt:lpstr>
      <vt:lpstr>Baseline heat &amp; power</vt:lpstr>
      <vt:lpstr>Baseline car use</vt:lpstr>
      <vt:lpstr>Renewable power</vt:lpstr>
      <vt:lpstr>Renewable heat</vt:lpstr>
      <vt:lpstr>Years to zero carbon</vt:lpstr>
      <vt:lpstr>Graphs</vt:lpstr>
      <vt:lpstr>Assumptions</vt:lpstr>
      <vt:lpstr>Information sources</vt:lpstr>
      <vt:lpstr>FAQ's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Letcher</dc:creator>
  <cp:lastModifiedBy>Anna Francis</cp:lastModifiedBy>
  <dcterms:created xsi:type="dcterms:W3CDTF">2018-03-23T10:55:54Z</dcterms:created>
  <dcterms:modified xsi:type="dcterms:W3CDTF">2018-08-15T14:46:16Z</dcterms:modified>
</cp:coreProperties>
</file>